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0" windowWidth="15330" windowHeight="7500" activeTab="1"/>
  </bookViews>
  <sheets>
    <sheet name="Concept" sheetId="1" r:id="rId1"/>
    <sheet name="Visual model" sheetId="2" r:id="rId2"/>
    <sheet name="data" sheetId="3" r:id="rId3"/>
  </sheets>
  <calcPr calcId="145621"/>
</workbook>
</file>

<file path=xl/calcChain.xml><?xml version="1.0" encoding="utf-8"?>
<calcChain xmlns="http://schemas.openxmlformats.org/spreadsheetml/2006/main">
  <c r="N11" i="2" l="1"/>
  <c r="N10" i="2"/>
  <c r="N9" i="2"/>
  <c r="N8" i="2"/>
  <c r="N7" i="2"/>
  <c r="N6" i="2"/>
  <c r="N4" i="2"/>
  <c r="N3" i="2"/>
  <c r="Z7" i="2"/>
  <c r="AF12" i="2"/>
  <c r="AF10" i="2"/>
  <c r="Z10" i="2" l="1"/>
  <c r="Z9" i="2"/>
  <c r="AF22" i="2"/>
  <c r="AF19" i="2"/>
  <c r="AF18" i="2"/>
  <c r="AF17" i="2"/>
  <c r="AF15" i="2"/>
  <c r="AK22" i="2" s="1"/>
  <c r="AF16" i="2"/>
  <c r="AF14" i="2"/>
  <c r="AK21" i="2" l="1"/>
  <c r="G44" i="3"/>
  <c r="G43" i="3"/>
  <c r="G42" i="3"/>
  <c r="G41" i="3"/>
  <c r="G40" i="3"/>
  <c r="G39" i="3"/>
  <c r="V32" i="2" s="1"/>
  <c r="G38" i="3"/>
  <c r="G37" i="3"/>
  <c r="G36" i="3"/>
  <c r="V33" i="2" s="1"/>
  <c r="V35" i="2"/>
  <c r="V34" i="2"/>
  <c r="V31" i="2"/>
  <c r="V30" i="2"/>
  <c r="J13" i="2"/>
  <c r="J16" i="2"/>
  <c r="J15" i="2"/>
  <c r="J14" i="2"/>
  <c r="J12" i="2"/>
  <c r="R16" i="2" s="1"/>
  <c r="J11" i="2"/>
  <c r="N37" i="2"/>
  <c r="R34" i="2" s="1"/>
  <c r="N36" i="2"/>
  <c r="V23" i="2"/>
  <c r="V27" i="2"/>
  <c r="V26" i="2"/>
  <c r="V25" i="2"/>
  <c r="V24" i="2"/>
  <c r="V22" i="2"/>
  <c r="F24" i="3"/>
  <c r="Q25" i="3"/>
  <c r="F23" i="3"/>
  <c r="D24" i="3"/>
  <c r="AF21" i="2" l="1"/>
  <c r="R18" i="2"/>
  <c r="R15" i="2"/>
  <c r="V18" i="2" s="1"/>
  <c r="R14" i="2"/>
  <c r="R17" i="2"/>
  <c r="D32" i="3"/>
  <c r="D30" i="3"/>
  <c r="D31" i="3" s="1"/>
  <c r="D22" i="3"/>
  <c r="D23" i="3"/>
  <c r="D25" i="3"/>
  <c r="D2" i="3"/>
  <c r="V19" i="2" l="1"/>
  <c r="V16" i="2"/>
  <c r="AF20" i="2" s="1"/>
  <c r="AJ28" i="2"/>
  <c r="AJ27" i="2"/>
  <c r="AJ26" i="2"/>
  <c r="AK19" i="2" l="1"/>
  <c r="AK20" i="2"/>
</calcChain>
</file>

<file path=xl/sharedStrings.xml><?xml version="1.0" encoding="utf-8"?>
<sst xmlns="http://schemas.openxmlformats.org/spreadsheetml/2006/main" count="753" uniqueCount="431">
  <si>
    <t>Δ diesel in transport</t>
  </si>
  <si>
    <t>Δ el power in transport</t>
  </si>
  <si>
    <t>Δ el power in buildings</t>
  </si>
  <si>
    <t>Δ distr heat in buildings</t>
  </si>
  <si>
    <t>Δ liq biofuel in transport</t>
  </si>
  <si>
    <t>Δ CV disease</t>
  </si>
  <si>
    <t>Δ lung cancer</t>
  </si>
  <si>
    <t>Δ asthma [symptoms]</t>
  </si>
  <si>
    <t>Δ AU&amp;LRI</t>
  </si>
  <si>
    <t>Δ petrol in transport</t>
  </si>
  <si>
    <t>Δ automobile</t>
  </si>
  <si>
    <t>Δ scooter</t>
  </si>
  <si>
    <t>Δ subway/train</t>
  </si>
  <si>
    <t>Δ trip frequency</t>
  </si>
  <si>
    <t>Δ lorry</t>
  </si>
  <si>
    <t>Δ van</t>
  </si>
  <si>
    <t>Δ rail</t>
  </si>
  <si>
    <t>Δ fuel oil in buildings</t>
  </si>
  <si>
    <t>Δ solar in buildings</t>
  </si>
  <si>
    <t>Δ renewable solid fuels in buildings</t>
  </si>
  <si>
    <t>Δ fossil solid fuels in buildings</t>
  </si>
  <si>
    <t>Δ natural gas in buildings</t>
  </si>
  <si>
    <t>TRANSPORT</t>
  </si>
  <si>
    <t>BUILDINGS (incl activities in)</t>
  </si>
  <si>
    <t>Policy target</t>
  </si>
  <si>
    <t>INDUSTRY (processes)</t>
  </si>
  <si>
    <t>Action on</t>
  </si>
  <si>
    <t>Residential small houses</t>
  </si>
  <si>
    <t>Residential appartment buildings</t>
  </si>
  <si>
    <t>Commercial (incl office) buildings</t>
  </si>
  <si>
    <t>Recreational/cultural buildings</t>
  </si>
  <si>
    <t>Educational buildings</t>
  </si>
  <si>
    <t>Health care/institutional buildings</t>
  </si>
  <si>
    <t>Other (incl. Industrial) buildings</t>
  </si>
  <si>
    <t>Local transport of goods</t>
  </si>
  <si>
    <t>Iron &amp; steel</t>
  </si>
  <si>
    <t>Chemical &amp; petrochemical</t>
  </si>
  <si>
    <t>Non-metallic minerals</t>
  </si>
  <si>
    <t>Transport equipment</t>
  </si>
  <si>
    <t xml:space="preserve"> Machinery</t>
  </si>
  <si>
    <t>Food &amp; beverage</t>
  </si>
  <si>
    <t>Pulp, paper &amp; printing</t>
  </si>
  <si>
    <t>[Mechanical] wood &amp; wood products</t>
  </si>
  <si>
    <t>Construction</t>
  </si>
  <si>
    <t>Textile &amp; leather</t>
  </si>
  <si>
    <t>Other (specify)</t>
  </si>
  <si>
    <t>Δ fine PM emission</t>
  </si>
  <si>
    <t>Δ BC emission</t>
  </si>
  <si>
    <t>Δ NOx emission</t>
  </si>
  <si>
    <t>Δ indoor tobacco smoking</t>
  </si>
  <si>
    <t>Exposure</t>
  </si>
  <si>
    <t>URBAN AREA</t>
  </si>
  <si>
    <t>Δ time at workplace/school/etc.</t>
  </si>
  <si>
    <t>Δ time in other indoor destinations</t>
  </si>
  <si>
    <t>Δ time at home outdoors</t>
  </si>
  <si>
    <t>Δ time at home indoors</t>
  </si>
  <si>
    <t>Δ time outdoors elsewhere</t>
  </si>
  <si>
    <t xml:space="preserve">Δ time in street traffic </t>
  </si>
  <si>
    <t>Δ time in other traffic</t>
  </si>
  <si>
    <t>Δ time in underground rail traffic</t>
  </si>
  <si>
    <t>Δ biking/walking</t>
  </si>
  <si>
    <t xml:space="preserve">Δ time in green outdoors </t>
  </si>
  <si>
    <t>Δ indoor space/cap</t>
  </si>
  <si>
    <t>Δ thermal comfort</t>
  </si>
  <si>
    <t>Δ land use efficiency</t>
  </si>
  <si>
    <t>Δ pedestrian zones</t>
  </si>
  <si>
    <t xml:space="preserve">Δ parks, waters, green corridors </t>
  </si>
  <si>
    <t>(intercity personal transport)</t>
  </si>
  <si>
    <t>(long range goods transport)</t>
  </si>
  <si>
    <t>Δ ventilation systems</t>
  </si>
  <si>
    <t>Δ cooling techniques</t>
  </si>
  <si>
    <t>Δ air exchange rates</t>
  </si>
  <si>
    <t>Δ spatial dimensioning regs</t>
  </si>
  <si>
    <t>Δ HVAC control systems</t>
  </si>
  <si>
    <t>Urban density</t>
  </si>
  <si>
    <t>Urban plan/zoning</t>
  </si>
  <si>
    <t>Δ space &amp; water heat sources</t>
  </si>
  <si>
    <t>Δ local [re]forestation</t>
  </si>
  <si>
    <t>Δ sensory IAQ</t>
  </si>
  <si>
    <t>Δ bus</t>
  </si>
  <si>
    <t>Δ trip time</t>
  </si>
  <si>
    <t>Δ trip distance</t>
  </si>
  <si>
    <t>Δ proximity to traffic</t>
  </si>
  <si>
    <t>Δ proximity to green areas</t>
  </si>
  <si>
    <t>Δ proximity to commercial services</t>
  </si>
  <si>
    <t>Δ proximity to public services</t>
  </si>
  <si>
    <t>IAQ</t>
  </si>
  <si>
    <t>Δ crowding</t>
  </si>
  <si>
    <t>Transport fuel/power</t>
  </si>
  <si>
    <t>transport mode</t>
  </si>
  <si>
    <t>Generated heat/power &amp; fuels</t>
  </si>
  <si>
    <t>Δ district heat</t>
  </si>
  <si>
    <t>Δ electric power</t>
  </si>
  <si>
    <t>Δ petroleum products</t>
  </si>
  <si>
    <t>Walk/bike network</t>
  </si>
  <si>
    <t>Urban environment functionality</t>
  </si>
  <si>
    <r>
      <rPr>
        <sz val="11"/>
        <color theme="0" tint="-0.499984740745262"/>
        <rFont val="Calibri"/>
        <family val="2"/>
      </rPr>
      <t>N</t>
    </r>
    <r>
      <rPr>
        <sz val="11"/>
        <color theme="0" tint="-0.499984740745262"/>
        <rFont val="Calibri"/>
        <family val="2"/>
        <scheme val="minor"/>
      </rPr>
      <t>on-ferrous metals</t>
    </r>
  </si>
  <si>
    <t xml:space="preserve">Δ home indoor </t>
  </si>
  <si>
    <t xml:space="preserve">Δ home outdoor </t>
  </si>
  <si>
    <t xml:space="preserve">Δ work/school/etc.  </t>
  </si>
  <si>
    <t>Δ transport mode/time</t>
  </si>
  <si>
    <t>Δ urban environment</t>
  </si>
  <si>
    <t>Health</t>
  </si>
  <si>
    <t>Δ solid fuel heating</t>
  </si>
  <si>
    <t>Δ radon</t>
  </si>
  <si>
    <t>Δ damp&amp;mold</t>
  </si>
  <si>
    <t>Δ winter cold</t>
  </si>
  <si>
    <t>Δ summer heat</t>
  </si>
  <si>
    <t>Δ noise</t>
  </si>
  <si>
    <t>Δ fine PM</t>
  </si>
  <si>
    <t>Δ BC</t>
  </si>
  <si>
    <t>AP&amp;GHG from traffic</t>
  </si>
  <si>
    <t>AP&amp;GHG from fuels used in buildings</t>
  </si>
  <si>
    <t>Wellbeing: satisfaction on</t>
  </si>
  <si>
    <t>Δ GHG emission from traffic</t>
  </si>
  <si>
    <t>Δ GHG emission from buildings</t>
  </si>
  <si>
    <t>Δ GHG emission from heat/power generation</t>
  </si>
  <si>
    <t>Δ lighting</t>
  </si>
  <si>
    <t>Δ el appliances</t>
  </si>
  <si>
    <t>Δ cooking equipment</t>
  </si>
  <si>
    <t>Urban development</t>
  </si>
  <si>
    <r>
      <t>Time-</t>
    </r>
    <r>
      <rPr>
        <b/>
        <sz val="11"/>
        <color theme="1"/>
        <rFont val="Calibri"/>
        <family val="2"/>
      </rPr>
      <t>µenvironment-acivity</t>
    </r>
  </si>
  <si>
    <t>Δ proximity to motor traffic</t>
  </si>
  <si>
    <t>Δ liquid biofuels</t>
  </si>
  <si>
    <t>PRIMARY ENERGY SOURCE</t>
  </si>
  <si>
    <t>Coal/peat</t>
  </si>
  <si>
    <t>Natural gas</t>
  </si>
  <si>
    <t>Nuclear</t>
  </si>
  <si>
    <t>Hydro</t>
  </si>
  <si>
    <t>Wind, solar, geothermal</t>
  </si>
  <si>
    <t>Waste</t>
  </si>
  <si>
    <t>Biomass</t>
  </si>
  <si>
    <t>Energy conversion</t>
  </si>
  <si>
    <r>
      <rPr>
        <sz val="11"/>
        <color theme="1"/>
        <rFont val="Calibri"/>
        <family val="2"/>
      </rPr>
      <t>Δ e</t>
    </r>
    <r>
      <rPr>
        <sz val="11"/>
        <color theme="1"/>
        <rFont val="Calibri"/>
        <family val="2"/>
        <scheme val="minor"/>
      </rPr>
      <t>lectric power generation</t>
    </r>
  </si>
  <si>
    <t>Δ heat and power cogeneration</t>
  </si>
  <si>
    <t xml:space="preserve">Δ [district] heat generation </t>
  </si>
  <si>
    <t>Crude oil</t>
  </si>
  <si>
    <t>Δ petroleum refining</t>
  </si>
  <si>
    <t>Δ liquid biofuel refining</t>
  </si>
  <si>
    <t>AP&amp;GHG from heat/power generation &amp; fuel conversion</t>
  </si>
  <si>
    <t>Δ automobile street use</t>
  </si>
  <si>
    <t>Δ bicycle parking at rail stations</t>
  </si>
  <si>
    <t>Δ bicycle parking downtown</t>
  </si>
  <si>
    <t>Δ auto &amp; scooter parking at rail stations</t>
  </si>
  <si>
    <t>Δ auto &amp; scooter parking downtown</t>
  </si>
  <si>
    <r>
      <t>Building codes &amp; regs</t>
    </r>
    <r>
      <rPr>
        <sz val="11"/>
        <color theme="1"/>
        <rFont val="Calibri"/>
        <family val="2"/>
        <scheme val="minor"/>
      </rPr>
      <t xml:space="preserve"> (for each bldg category)</t>
    </r>
  </si>
  <si>
    <t>Δ building enevelope insulation</t>
  </si>
  <si>
    <t>Δ tram</t>
  </si>
  <si>
    <t>Δ automobile &amp; scooter transport</t>
  </si>
  <si>
    <t>person-km/a</t>
  </si>
  <si>
    <t>street transport electrification</t>
  </si>
  <si>
    <t>% person-km</t>
  </si>
  <si>
    <t>Street network</t>
  </si>
  <si>
    <t>Rail network</t>
  </si>
  <si>
    <t xml:space="preserve">Local person transport </t>
  </si>
  <si>
    <t>Δ walk &amp; bike for transport</t>
  </si>
  <si>
    <t>Δ walk &amp; bike for exercise</t>
  </si>
  <si>
    <t>Δ bike/walk for transport</t>
  </si>
  <si>
    <t>Δ indoor temperature (when occupied)</t>
  </si>
  <si>
    <t xml:space="preserve">Δ indoor RH </t>
  </si>
  <si>
    <t>Δ indoor CO2</t>
  </si>
  <si>
    <t>Δ proximity to public transport</t>
  </si>
  <si>
    <t>Δ indoor noise</t>
  </si>
  <si>
    <r>
      <t>Δ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</t>
    </r>
  </si>
  <si>
    <t>Δ tobacco smoke at home</t>
  </si>
  <si>
    <t>Δ tobacco smoke at workplace</t>
  </si>
  <si>
    <t>Δ tobacco smoke elsewhere</t>
  </si>
  <si>
    <r>
      <t>Total direct and indirect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eqv. GHG emission</t>
    </r>
  </si>
  <si>
    <t>Transport environment</t>
  </si>
  <si>
    <t>Δ public street transport</t>
  </si>
  <si>
    <t>Δ public rail transport</t>
  </si>
  <si>
    <t>Δ natural gas</t>
  </si>
  <si>
    <t>Buildings power/heat</t>
  </si>
  <si>
    <t>Buildings fuel</t>
  </si>
  <si>
    <t>WP Urban GIS</t>
  </si>
  <si>
    <t>WP Transport</t>
  </si>
  <si>
    <t>WP Buildings</t>
  </si>
  <si>
    <t>WP Energy</t>
  </si>
  <si>
    <t>WP Exposure, Health &amp; Wellbeing</t>
  </si>
  <si>
    <t>End use of fuel, power &amp; heat</t>
  </si>
  <si>
    <t>Impacts 0n</t>
  </si>
  <si>
    <t>Emissions</t>
  </si>
  <si>
    <t>Time budgets</t>
  </si>
  <si>
    <t>Policy outcomes</t>
  </si>
  <si>
    <t>land use efficiency</t>
  </si>
  <si>
    <t>time at home indoors</t>
  </si>
  <si>
    <t>pedestrian zones</t>
  </si>
  <si>
    <t>time at workplace/school/etc.</t>
  </si>
  <si>
    <t>walk &amp; bike for exercise</t>
  </si>
  <si>
    <t>proximity to green areas</t>
  </si>
  <si>
    <t>time in other indoor destinations</t>
  </si>
  <si>
    <t xml:space="preserve">parks, waters, green corridors </t>
  </si>
  <si>
    <t>time at home outdoors</t>
  </si>
  <si>
    <t>local [re]forestation</t>
  </si>
  <si>
    <t>trip distance</t>
  </si>
  <si>
    <t xml:space="preserve">time in green outdoors </t>
  </si>
  <si>
    <t>trip time</t>
  </si>
  <si>
    <t>time outdoors elsewhere</t>
  </si>
  <si>
    <t>trip frequency</t>
  </si>
  <si>
    <t xml:space="preserve">time in street traffic </t>
  </si>
  <si>
    <t>walk &amp; bike for transport</t>
  </si>
  <si>
    <t>tobacco smoke at home</t>
  </si>
  <si>
    <t xml:space="preserve">home indoor </t>
  </si>
  <si>
    <t>time in other traffic</t>
  </si>
  <si>
    <t>thermal comfort</t>
  </si>
  <si>
    <t>bicycle parking downtown</t>
  </si>
  <si>
    <t>biking/walking</t>
  </si>
  <si>
    <t>tobacco smoke elsewhere</t>
  </si>
  <si>
    <t xml:space="preserve">home outdoor </t>
  </si>
  <si>
    <t>solid fuel heating</t>
  </si>
  <si>
    <t xml:space="preserve">work/school/etc.  </t>
  </si>
  <si>
    <t>petrol in transport</t>
  </si>
  <si>
    <t>radon</t>
  </si>
  <si>
    <t>transport mode/time</t>
  </si>
  <si>
    <t>diesel in transport</t>
  </si>
  <si>
    <t>damp&amp;mold</t>
  </si>
  <si>
    <t>urban environment</t>
  </si>
  <si>
    <t>automobile</t>
  </si>
  <si>
    <t>liq biofuel in transport</t>
  </si>
  <si>
    <t>fine PM emission</t>
  </si>
  <si>
    <t>crowding</t>
  </si>
  <si>
    <t>auto &amp; scooter parking at rail stations</t>
  </si>
  <si>
    <t>scooter</t>
  </si>
  <si>
    <t>el power in transport</t>
  </si>
  <si>
    <t>NOx emission</t>
  </si>
  <si>
    <t>winter cold</t>
  </si>
  <si>
    <t>auto &amp; scooter parking downtown</t>
  </si>
  <si>
    <t>lorry</t>
  </si>
  <si>
    <t>BC emission</t>
  </si>
  <si>
    <t>summer heat</t>
  </si>
  <si>
    <t>van</t>
  </si>
  <si>
    <t>CO2 emission</t>
  </si>
  <si>
    <t>noise</t>
  </si>
  <si>
    <t>CV disease</t>
  </si>
  <si>
    <t>rail</t>
  </si>
  <si>
    <t>lung cancer</t>
  </si>
  <si>
    <t>el appliances</t>
  </si>
  <si>
    <t>BC</t>
  </si>
  <si>
    <t>asthma [symptoms]</t>
  </si>
  <si>
    <t>lighting</t>
  </si>
  <si>
    <t>proximity to traffic</t>
  </si>
  <si>
    <t>AU&amp;LRI</t>
  </si>
  <si>
    <t>cooking equipment</t>
  </si>
  <si>
    <t>indoor space/cap</t>
  </si>
  <si>
    <t>fuel oil in buildings</t>
  </si>
  <si>
    <t>SO2 emission</t>
  </si>
  <si>
    <t>space &amp; water heat sources</t>
  </si>
  <si>
    <t>fossil solid fuels in buildings</t>
  </si>
  <si>
    <t>ventilation systems</t>
  </si>
  <si>
    <t>sensory IAQ</t>
  </si>
  <si>
    <t>renewable solid fuels in buildings</t>
  </si>
  <si>
    <t>air exchange rates</t>
  </si>
  <si>
    <t>indoor temperature (when occupied)</t>
  </si>
  <si>
    <t>solar in buildings</t>
  </si>
  <si>
    <t>GHG emission from traffic</t>
  </si>
  <si>
    <t>cooling techniques</t>
  </si>
  <si>
    <t xml:space="preserve">indoor RH </t>
  </si>
  <si>
    <t>natural gas in buildings</t>
  </si>
  <si>
    <t>GH4 emission</t>
  </si>
  <si>
    <t>GHG emission from buildings</t>
  </si>
  <si>
    <t>building enevelope insulation</t>
  </si>
  <si>
    <t>indoor CO2</t>
  </si>
  <si>
    <t>GHG emission from heat/power generation</t>
  </si>
  <si>
    <t>HVAC control systems</t>
  </si>
  <si>
    <t>indoor noise</t>
  </si>
  <si>
    <t>spatial dimensioning regs</t>
  </si>
  <si>
    <t>proximity to motor traffic</t>
  </si>
  <si>
    <t>indoor tobacco smoking</t>
  </si>
  <si>
    <t>el power in buildings</t>
  </si>
  <si>
    <t>electric power generation</t>
  </si>
  <si>
    <t>electric power</t>
  </si>
  <si>
    <t>distr heat in buildings</t>
  </si>
  <si>
    <t>district heat</t>
  </si>
  <si>
    <t>Impacts on</t>
  </si>
  <si>
    <t>Δ Physical injury</t>
  </si>
  <si>
    <r>
      <t>Time-</t>
    </r>
    <r>
      <rPr>
        <b/>
        <sz val="11"/>
        <color theme="1"/>
        <rFont val="Calibri"/>
        <family val="2"/>
      </rPr>
      <t>µenvironment-activity</t>
    </r>
  </si>
  <si>
    <r>
      <t>Δ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</t>
    </r>
  </si>
  <si>
    <t>Generated &amp; distributed heat/power &amp; fuels</t>
  </si>
  <si>
    <r>
      <t>Δ SO</t>
    </r>
    <r>
      <rPr>
        <vertAlign val="subscript"/>
        <sz val="11"/>
        <color theme="0" tint="-0.499984740745262"/>
        <rFont val="Calibri"/>
        <family val="2"/>
        <scheme val="minor"/>
      </rPr>
      <t>2</t>
    </r>
    <r>
      <rPr>
        <sz val="11"/>
        <color theme="0" tint="-0.499984740745262"/>
        <rFont val="Calibri"/>
        <family val="2"/>
        <scheme val="minor"/>
      </rPr>
      <t xml:space="preserve"> emission</t>
    </r>
  </si>
  <si>
    <t>m2/km2</t>
  </si>
  <si>
    <t># buildings, m3</t>
  </si>
  <si>
    <t># residences, m3</t>
  </si>
  <si>
    <t>TJ/a</t>
  </si>
  <si>
    <t>floor space</t>
  </si>
  <si>
    <t>(street) transport electrification</t>
  </si>
  <si>
    <t>lane-km(/km2)</t>
  </si>
  <si>
    <t>rail-km(/km2)</t>
  </si>
  <si>
    <t>km(/km2)</t>
  </si>
  <si>
    <t>% built area</t>
  </si>
  <si>
    <t>estimate</t>
  </si>
  <si>
    <t>% area within built zone</t>
  </si>
  <si>
    <t>m3/a</t>
  </si>
  <si>
    <t>net growth</t>
  </si>
  <si>
    <t>Avg resid-park/forest dist (percentiles)</t>
  </si>
  <si>
    <t>km, avg (percentiles)</t>
  </si>
  <si>
    <t>h, avg (percentiles)</t>
  </si>
  <si>
    <t>m3/cap</t>
  </si>
  <si>
    <t>cap/room</t>
  </si>
  <si>
    <t>°C, TWA (percentiles)</t>
  </si>
  <si>
    <t>RH, TWA (percentiles)</t>
  </si>
  <si>
    <t>ppm, TWA (percentiles)</t>
  </si>
  <si>
    <t>dBA, Lden</t>
  </si>
  <si>
    <t>t/a</t>
  </si>
  <si>
    <t>%</t>
  </si>
  <si>
    <t>doers</t>
  </si>
  <si>
    <t>non-doers</t>
  </si>
  <si>
    <t>µg/m3</t>
  </si>
  <si>
    <t>Bq/m3</t>
  </si>
  <si>
    <t>&gt; … dBA Lden</t>
  </si>
  <si>
    <t>outdoor air fine PM</t>
  </si>
  <si>
    <t>DALY/a</t>
  </si>
  <si>
    <t>satisfied</t>
  </si>
  <si>
    <t>dissatisfied</t>
  </si>
  <si>
    <t>tot m3</t>
  </si>
  <si>
    <t>total person-km/a</t>
  </si>
  <si>
    <t>Units</t>
  </si>
  <si>
    <t>CO2 equivalent conversion for CH4</t>
  </si>
  <si>
    <t>CO2 equivalent conversion for BC</t>
  </si>
  <si>
    <t>CO2</t>
  </si>
  <si>
    <t>CH4</t>
  </si>
  <si>
    <t>fine PM</t>
  </si>
  <si>
    <t>SO2</t>
  </si>
  <si>
    <t>Coal</t>
  </si>
  <si>
    <t>Oil</t>
  </si>
  <si>
    <t>NatGas</t>
  </si>
  <si>
    <t>Municipal waste</t>
  </si>
  <si>
    <t>Local heating</t>
  </si>
  <si>
    <t>Transport</t>
  </si>
  <si>
    <t>Petrol</t>
  </si>
  <si>
    <t>Diesel</t>
  </si>
  <si>
    <t>Liq biofuel</t>
  </si>
  <si>
    <t>NO</t>
  </si>
  <si>
    <t>CO</t>
  </si>
  <si>
    <t>org.</t>
  </si>
  <si>
    <t>C</t>
  </si>
  <si>
    <t>H2O</t>
  </si>
  <si>
    <t>N2+Ar</t>
  </si>
  <si>
    <t>ash</t>
  </si>
  <si>
    <t xml:space="preserve">coal </t>
  </si>
  <si>
    <t>CO2+CO</t>
  </si>
  <si>
    <t>Oil (residual)</t>
  </si>
  <si>
    <t>Oil (distillate)</t>
  </si>
  <si>
    <t>Biomass (wood)</t>
  </si>
  <si>
    <t>Biomass (ww+agr)</t>
  </si>
  <si>
    <t>Power generation fly ash removal</t>
  </si>
  <si>
    <t>Heat/power fly ash removal</t>
  </si>
  <si>
    <t>Residual oil S</t>
  </si>
  <si>
    <t>Distillate oil S</t>
  </si>
  <si>
    <t>Diesel S</t>
  </si>
  <si>
    <t>District heating fly ash removal</t>
  </si>
  <si>
    <t>Power generation SO2 removal</t>
  </si>
  <si>
    <t>Heat/power SO2 removal</t>
  </si>
  <si>
    <t>District heating SO2 removal</t>
  </si>
  <si>
    <t>Power generation NOx removal</t>
  </si>
  <si>
    <t>Heat/power NOx removal</t>
  </si>
  <si>
    <t>District heating NOx removal</t>
  </si>
  <si>
    <t>CO2 equivalent conversion for N2O</t>
  </si>
  <si>
    <t>Power Plant/</t>
  </si>
  <si>
    <t>industry scale</t>
  </si>
  <si>
    <t>mg/MJ</t>
  </si>
  <si>
    <t>g/MJ</t>
  </si>
  <si>
    <t>C2</t>
  </si>
  <si>
    <t>H6</t>
  </si>
  <si>
    <t>O</t>
  </si>
  <si>
    <t xml:space="preserve">1 kg ethanol = </t>
  </si>
  <si>
    <t>kg C</t>
  </si>
  <si>
    <t>produces</t>
  </si>
  <si>
    <t xml:space="preserve">1MJ ethanol produces </t>
  </si>
  <si>
    <t>C2H5OH</t>
  </si>
  <si>
    <t>MJ/kg</t>
  </si>
  <si>
    <t>MW</t>
  </si>
  <si>
    <t>kg CO2</t>
  </si>
  <si>
    <t>Coal S</t>
  </si>
  <si>
    <t>Petrol S</t>
  </si>
  <si>
    <t>Liq. biofuel</t>
  </si>
  <si>
    <t>Emission factors (t/TJt)</t>
  </si>
  <si>
    <t>LNG</t>
  </si>
  <si>
    <t>Fine PM</t>
  </si>
  <si>
    <t>PM</t>
  </si>
  <si>
    <t>g/kWh</t>
  </si>
  <si>
    <t>-&gt; t/TJ</t>
  </si>
  <si>
    <t>EURO-III (CRT traps)</t>
  </si>
  <si>
    <t>Rel. GHG potency</t>
  </si>
  <si>
    <t>20 a.</t>
  </si>
  <si>
    <t>100 a.</t>
  </si>
  <si>
    <t>at 20 years</t>
  </si>
  <si>
    <t>LNG in transport</t>
  </si>
  <si>
    <t>CH4 emission</t>
  </si>
  <si>
    <t>TJi/a</t>
  </si>
  <si>
    <t>Heat</t>
  </si>
  <si>
    <t>CHP</t>
  </si>
  <si>
    <t>Power</t>
  </si>
  <si>
    <t>automobiler transport</t>
  </si>
  <si>
    <t>scooter transport</t>
  </si>
  <si>
    <t>Avg passenger/unit</t>
  </si>
  <si>
    <t>Avg distance/travel. km</t>
  </si>
  <si>
    <t>Unit-km/a</t>
  </si>
  <si>
    <t>Transport fuel consumption</t>
  </si>
  <si>
    <t>bus transport</t>
  </si>
  <si>
    <t>subway &amp; train transport</t>
  </si>
  <si>
    <t>tram/trolley transport</t>
  </si>
  <si>
    <t>tram &amp; trolley</t>
  </si>
  <si>
    <t>subway &amp; train</t>
  </si>
  <si>
    <t>kWh electric power / unit-km</t>
  </si>
  <si>
    <t>district heat distribution loss</t>
  </si>
  <si>
    <t>kg diesel / unit-km</t>
  </si>
  <si>
    <t>kg petrol / unit-km</t>
  </si>
  <si>
    <t xml:space="preserve">Petrol </t>
  </si>
  <si>
    <t>Proportion of busses diesel</t>
  </si>
  <si>
    <t>Proportion of busses LNG</t>
  </si>
  <si>
    <t>Proportion of petrol liq.biofuel</t>
  </si>
  <si>
    <t>Proportion of petrol fossil</t>
  </si>
  <si>
    <t>heat&amp;powercogeneration</t>
  </si>
  <si>
    <t>district heat generation</t>
  </si>
  <si>
    <t>indoor radon</t>
  </si>
  <si>
    <t>Averaged over 20 years</t>
  </si>
  <si>
    <t>!</t>
  </si>
  <si>
    <t>proximity to public street transport</t>
  </si>
  <si>
    <t>proximity to public rail transport</t>
  </si>
  <si>
    <t>Avg resid-railstop dist (percentiles)</t>
  </si>
  <si>
    <t>Avg resid-bustop dist (percentiles)</t>
  </si>
  <si>
    <t>avg #/week</t>
  </si>
  <si>
    <t>time in rail traffic</t>
  </si>
  <si>
    <t>proximity to work and school</t>
  </si>
  <si>
    <t>Avg resid-work/school dist (percentiles)</t>
  </si>
  <si>
    <t>population density</t>
  </si>
  <si>
    <t>#/km2</t>
  </si>
  <si>
    <t>population based distribution</t>
  </si>
  <si>
    <t>floor space areal distribution</t>
  </si>
  <si>
    <t>proximity to commercial&amp;public services</t>
  </si>
  <si>
    <t>Avg resid-supermarket/health care dist (percentiles)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</si>
</sst>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D0C5"/>
        <bgColor indexed="64"/>
      </patternFill>
    </fill>
    <fill>
      <patternFill patternType="solid">
        <fgColor rgb="FFD9FDF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4" borderId="1" xfId="0" applyFill="1" applyBorder="1"/>
    <xf numFmtId="0" fontId="0" fillId="5" borderId="1" xfId="0" applyFill="1" applyBorder="1"/>
    <xf numFmtId="0" fontId="2" fillId="5" borderId="1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7" borderId="0" xfId="0" applyFont="1" applyFill="1"/>
    <xf numFmtId="0" fontId="0" fillId="7" borderId="1" xfId="0" applyFill="1" applyBorder="1"/>
    <xf numFmtId="0" fontId="1" fillId="8" borderId="0" xfId="0" applyFont="1" applyFill="1"/>
    <xf numFmtId="0" fontId="0" fillId="8" borderId="0" xfId="0" applyFill="1"/>
    <xf numFmtId="0" fontId="0" fillId="7" borderId="0" xfId="0" applyFill="1"/>
    <xf numFmtId="0" fontId="0" fillId="6" borderId="0" xfId="0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0" fillId="4" borderId="1" xfId="0" applyFont="1" applyFill="1" applyBorder="1"/>
    <xf numFmtId="0" fontId="0" fillId="10" borderId="1" xfId="0" applyFill="1" applyBorder="1"/>
    <xf numFmtId="0" fontId="1" fillId="11" borderId="0" xfId="0" applyFont="1" applyFill="1"/>
    <xf numFmtId="0" fontId="0" fillId="0" borderId="0" xfId="0" applyAlignment="1">
      <alignment horizontal="center"/>
    </xf>
    <xf numFmtId="0" fontId="7" fillId="6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7" borderId="1" xfId="0" applyFont="1" applyFill="1" applyBorder="1"/>
    <xf numFmtId="0" fontId="8" fillId="6" borderId="1" xfId="0" applyFont="1" applyFill="1" applyBorder="1"/>
    <xf numFmtId="0" fontId="8" fillId="10" borderId="1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1" fillId="6" borderId="0" xfId="0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0" fillId="6" borderId="0" xfId="0" applyFont="1" applyFill="1" applyBorder="1"/>
    <xf numFmtId="0" fontId="0" fillId="5" borderId="0" xfId="0" applyFont="1" applyFill="1" applyBorder="1"/>
    <xf numFmtId="0" fontId="0" fillId="9" borderId="0" xfId="0" applyFont="1" applyFill="1"/>
    <xf numFmtId="0" fontId="0" fillId="6" borderId="0" xfId="0" applyFont="1" applyFill="1"/>
    <xf numFmtId="0" fontId="0" fillId="5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0" borderId="0" xfId="0" applyFont="1" applyFill="1" applyBorder="1"/>
    <xf numFmtId="0" fontId="2" fillId="0" borderId="0" xfId="0" applyFont="1"/>
    <xf numFmtId="0" fontId="0" fillId="8" borderId="0" xfId="0" applyFont="1" applyFill="1" applyBorder="1"/>
    <xf numFmtId="0" fontId="0" fillId="10" borderId="0" xfId="0" applyFont="1" applyFill="1"/>
    <xf numFmtId="0" fontId="0" fillId="10" borderId="0" xfId="0" applyFont="1" applyFill="1" applyBorder="1"/>
    <xf numFmtId="0" fontId="2" fillId="10" borderId="0" xfId="0" applyFont="1" applyFill="1"/>
    <xf numFmtId="0" fontId="1" fillId="0" borderId="0" xfId="0" applyFont="1" applyFill="1"/>
    <xf numFmtId="0" fontId="0" fillId="4" borderId="2" xfId="0" applyFont="1" applyFill="1" applyBorder="1"/>
    <xf numFmtId="0" fontId="0" fillId="4" borderId="2" xfId="0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6" xfId="0" applyFill="1" applyBorder="1"/>
    <xf numFmtId="0" fontId="1" fillId="6" borderId="2" xfId="0" applyFont="1" applyFill="1" applyBorder="1"/>
    <xf numFmtId="0" fontId="7" fillId="6" borderId="2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0" fillId="5" borderId="2" xfId="0" applyFill="1" applyBorder="1"/>
    <xf numFmtId="0" fontId="2" fillId="5" borderId="2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7" borderId="2" xfId="0" applyFill="1" applyBorder="1"/>
    <xf numFmtId="0" fontId="0" fillId="7" borderId="5" xfId="0" applyFill="1" applyBorder="1"/>
    <xf numFmtId="0" fontId="0" fillId="7" borderId="7" xfId="0" applyFill="1" applyBorder="1"/>
    <xf numFmtId="0" fontId="0" fillId="6" borderId="2" xfId="0" applyFill="1" applyBorder="1"/>
    <xf numFmtId="0" fontId="0" fillId="6" borderId="6" xfId="0" applyFill="1" applyBorder="1"/>
    <xf numFmtId="0" fontId="0" fillId="6" borderId="8" xfId="0" applyFill="1" applyBorder="1"/>
    <xf numFmtId="0" fontId="1" fillId="9" borderId="9" xfId="0" applyFon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6" borderId="2" xfId="0" applyFont="1" applyFill="1" applyBorder="1"/>
    <xf numFmtId="0" fontId="0" fillId="6" borderId="10" xfId="0" applyFont="1" applyFill="1" applyBorder="1"/>
    <xf numFmtId="0" fontId="0" fillId="6" borderId="11" xfId="0" applyFont="1" applyFill="1" applyBorder="1"/>
    <xf numFmtId="0" fontId="0" fillId="5" borderId="2" xfId="0" applyFont="1" applyFill="1" applyBorder="1"/>
    <xf numFmtId="0" fontId="1" fillId="3" borderId="9" xfId="0" applyFont="1" applyFill="1" applyBorder="1" applyAlignment="1">
      <alignment horizontal="center"/>
    </xf>
    <xf numFmtId="0" fontId="0" fillId="5" borderId="10" xfId="0" applyFont="1" applyFill="1" applyBorder="1"/>
    <xf numFmtId="0" fontId="0" fillId="5" borderId="11" xfId="0" applyFont="1" applyFill="1" applyBorder="1"/>
    <xf numFmtId="0" fontId="0" fillId="7" borderId="2" xfId="0" applyFont="1" applyFill="1" applyBorder="1"/>
    <xf numFmtId="0" fontId="0" fillId="7" borderId="10" xfId="0" applyFont="1" applyFill="1" applyBorder="1"/>
    <xf numFmtId="0" fontId="0" fillId="7" borderId="11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11" borderId="9" xfId="0" applyFont="1" applyFill="1" applyBorder="1"/>
    <xf numFmtId="0" fontId="0" fillId="10" borderId="2" xfId="0" applyFill="1" applyBorder="1"/>
    <xf numFmtId="0" fontId="1" fillId="8" borderId="9" xfId="0" applyFont="1" applyFill="1" applyBorder="1"/>
    <xf numFmtId="0" fontId="0" fillId="10" borderId="10" xfId="0" applyFont="1" applyFill="1" applyBorder="1"/>
    <xf numFmtId="0" fontId="0" fillId="10" borderId="2" xfId="0" applyFont="1" applyFill="1" applyBorder="1"/>
    <xf numFmtId="0" fontId="0" fillId="8" borderId="3" xfId="0" applyFont="1" applyFill="1" applyBorder="1"/>
    <xf numFmtId="0" fontId="0" fillId="8" borderId="12" xfId="0" applyFont="1" applyFill="1" applyBorder="1"/>
    <xf numFmtId="0" fontId="0" fillId="8" borderId="4" xfId="0" applyFont="1" applyFill="1" applyBorder="1"/>
    <xf numFmtId="0" fontId="1" fillId="10" borderId="5" xfId="0" applyFont="1" applyFill="1" applyBorder="1"/>
    <xf numFmtId="0" fontId="2" fillId="10" borderId="0" xfId="0" applyFont="1" applyFill="1" applyBorder="1"/>
    <xf numFmtId="0" fontId="2" fillId="10" borderId="6" xfId="0" applyFont="1" applyFill="1" applyBorder="1"/>
    <xf numFmtId="0" fontId="0" fillId="10" borderId="6" xfId="0" applyFont="1" applyFill="1" applyBorder="1"/>
    <xf numFmtId="0" fontId="1" fillId="10" borderId="7" xfId="0" applyFont="1" applyFill="1" applyBorder="1"/>
    <xf numFmtId="0" fontId="0" fillId="10" borderId="13" xfId="0" applyFont="1" applyFill="1" applyBorder="1"/>
    <xf numFmtId="0" fontId="0" fillId="10" borderId="8" xfId="0" applyFont="1" applyFill="1" applyBorder="1"/>
    <xf numFmtId="0" fontId="0" fillId="10" borderId="5" xfId="0" applyFont="1" applyFill="1" applyBorder="1"/>
    <xf numFmtId="0" fontId="0" fillId="10" borderId="7" xfId="0" applyFont="1" applyFill="1" applyBorder="1"/>
    <xf numFmtId="0" fontId="0" fillId="13" borderId="0" xfId="0" applyFont="1" applyFill="1"/>
    <xf numFmtId="0" fontId="1" fillId="13" borderId="9" xfId="0" applyFont="1" applyFill="1" applyBorder="1"/>
    <xf numFmtId="0" fontId="0" fillId="12" borderId="10" xfId="0" applyFont="1" applyFill="1" applyBorder="1"/>
    <xf numFmtId="0" fontId="0" fillId="14" borderId="10" xfId="0" applyFont="1" applyFill="1" applyBorder="1"/>
    <xf numFmtId="0" fontId="0" fillId="13" borderId="11" xfId="0" applyFont="1" applyFill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 applyFill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15" fillId="0" borderId="0" xfId="0" applyFont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Fill="1" applyBorder="1"/>
    <xf numFmtId="0" fontId="13" fillId="0" borderId="6" xfId="0" applyFont="1" applyBorder="1"/>
    <xf numFmtId="0" fontId="0" fillId="0" borderId="10" xfId="0" applyFont="1" applyBorder="1"/>
    <xf numFmtId="0" fontId="0" fillId="0" borderId="11" xfId="0" applyFont="1" applyFill="1" applyBorder="1"/>
    <xf numFmtId="0" fontId="14" fillId="0" borderId="4" xfId="0" applyFont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0" xfId="0" applyNumberFormat="1"/>
    <xf numFmtId="0" fontId="0" fillId="0" borderId="0" xfId="0" applyAlignment="1">
      <alignment horizontal="right"/>
    </xf>
    <xf numFmtId="0" fontId="14" fillId="0" borderId="3" xfId="0" applyFont="1" applyBorder="1"/>
    <xf numFmtId="164" fontId="0" fillId="0" borderId="6" xfId="0" applyNumberFormat="1" applyBorder="1"/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5" xfId="0" applyFont="1" applyBorder="1"/>
    <xf numFmtId="164" fontId="13" fillId="0" borderId="6" xfId="0" applyNumberFormat="1" applyFont="1" applyBorder="1"/>
    <xf numFmtId="0" fontId="13" fillId="0" borderId="13" xfId="0" applyFont="1" applyBorder="1"/>
    <xf numFmtId="0" fontId="13" fillId="0" borderId="8" xfId="0" applyFont="1" applyBorder="1"/>
    <xf numFmtId="164" fontId="13" fillId="0" borderId="0" xfId="0" applyNumberFormat="1" applyFont="1" applyBorder="1"/>
    <xf numFmtId="0" fontId="0" fillId="0" borderId="0" xfId="0" quotePrefix="1"/>
    <xf numFmtId="0" fontId="13" fillId="0" borderId="4" xfId="0" applyFont="1" applyBorder="1"/>
    <xf numFmtId="0" fontId="0" fillId="0" borderId="5" xfId="0" applyFill="1" applyBorder="1"/>
    <xf numFmtId="1" fontId="0" fillId="0" borderId="0" xfId="0" applyNumberFormat="1"/>
    <xf numFmtId="0" fontId="14" fillId="0" borderId="0" xfId="0" applyFont="1"/>
    <xf numFmtId="0" fontId="14" fillId="0" borderId="0" xfId="0" applyFont="1" applyFill="1"/>
    <xf numFmtId="0" fontId="14" fillId="0" borderId="8" xfId="0" applyFont="1" applyFill="1" applyBorder="1" applyAlignment="1">
      <alignment horizontal="center"/>
    </xf>
    <xf numFmtId="0" fontId="14" fillId="0" borderId="1" xfId="0" applyFont="1" applyFill="1" applyBorder="1"/>
    <xf numFmtId="0" fontId="0" fillId="0" borderId="9" xfId="0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1" fillId="11" borderId="3" xfId="0" applyFont="1" applyFill="1" applyBorder="1" applyAlignment="1"/>
    <xf numFmtId="0" fontId="0" fillId="7" borderId="10" xfId="0" applyFill="1" applyBorder="1"/>
    <xf numFmtId="0" fontId="0" fillId="7" borderId="11" xfId="0" applyFill="1" applyBorder="1"/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" fillId="11" borderId="9" xfId="0" applyFont="1" applyFill="1" applyBorder="1" applyAlignment="1"/>
    <xf numFmtId="0" fontId="0" fillId="4" borderId="13" xfId="0" applyFill="1" applyBorder="1"/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4" xfId="0" applyFont="1" applyFill="1" applyBorder="1"/>
    <xf numFmtId="0" fontId="16" fillId="6" borderId="5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7" borderId="0" xfId="0" applyFont="1" applyFill="1" applyBorder="1"/>
    <xf numFmtId="0" fontId="17" fillId="7" borderId="0" xfId="0" applyFont="1" applyFill="1" applyBorder="1"/>
    <xf numFmtId="0" fontId="17" fillId="6" borderId="0" xfId="0" applyFont="1" applyFill="1" applyBorder="1"/>
    <xf numFmtId="0" fontId="16" fillId="6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/>
    <xf numFmtId="164" fontId="1" fillId="0" borderId="0" xfId="0" applyNumberFormat="1" applyFont="1" applyFill="1"/>
    <xf numFmtId="0" fontId="17" fillId="6" borderId="6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6" fillId="5" borderId="0" xfId="0" applyFont="1" applyFill="1" applyBorder="1"/>
    <xf numFmtId="0" fontId="17" fillId="12" borderId="0" xfId="0" applyFont="1" applyFill="1"/>
    <xf numFmtId="0" fontId="17" fillId="14" borderId="0" xfId="0" applyFont="1" applyFill="1"/>
    <xf numFmtId="164" fontId="0" fillId="10" borderId="0" xfId="0" applyNumberFormat="1" applyFont="1" applyFill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1" fontId="0" fillId="0" borderId="0" xfId="0" applyNumberFormat="1" applyFont="1"/>
    <xf numFmtId="1" fontId="1" fillId="2" borderId="0" xfId="0" applyNumberFormat="1" applyFont="1" applyFill="1"/>
    <xf numFmtId="1" fontId="17" fillId="6" borderId="0" xfId="0" quotePrefix="1" applyNumberFormat="1" applyFont="1" applyFill="1" applyBorder="1"/>
    <xf numFmtId="1" fontId="17" fillId="6" borderId="0" xfId="0" applyNumberFormat="1" applyFont="1" applyFill="1" applyBorder="1"/>
    <xf numFmtId="1" fontId="17" fillId="0" borderId="0" xfId="0" applyNumberFormat="1" applyFont="1"/>
    <xf numFmtId="1" fontId="18" fillId="3" borderId="0" xfId="0" applyNumberFormat="1" applyFont="1" applyFill="1"/>
    <xf numFmtId="1" fontId="17" fillId="5" borderId="0" xfId="0" applyNumberFormat="1" applyFont="1" applyFill="1" applyBorder="1"/>
    <xf numFmtId="1" fontId="18" fillId="11" borderId="0" xfId="0" applyNumberFormat="1" applyFont="1" applyFill="1"/>
    <xf numFmtId="1" fontId="17" fillId="7" borderId="0" xfId="0" applyNumberFormat="1" applyFont="1" applyFill="1" applyBorder="1"/>
    <xf numFmtId="1" fontId="0" fillId="0" borderId="0" xfId="0" applyNumberFormat="1" applyAlignment="1">
      <alignment horizontal="center"/>
    </xf>
    <xf numFmtId="1" fontId="0" fillId="8" borderId="0" xfId="0" applyNumberFormat="1" applyFont="1" applyFill="1"/>
    <xf numFmtId="1" fontId="0" fillId="10" borderId="0" xfId="0" applyNumberFormat="1" applyFont="1" applyFill="1"/>
    <xf numFmtId="0" fontId="19" fillId="0" borderId="0" xfId="0" applyFont="1"/>
    <xf numFmtId="0" fontId="8" fillId="10" borderId="2" xfId="0" applyFont="1" applyFill="1" applyBorder="1"/>
    <xf numFmtId="0" fontId="7" fillId="10" borderId="5" xfId="0" applyFont="1" applyFill="1" applyBorder="1"/>
    <xf numFmtId="0" fontId="8" fillId="10" borderId="0" xfId="0" applyFont="1" applyFill="1" applyBorder="1"/>
    <xf numFmtId="0" fontId="8" fillId="10" borderId="6" xfId="0" applyFont="1" applyFill="1" applyBorder="1"/>
    <xf numFmtId="0" fontId="8" fillId="10" borderId="0" xfId="0" applyFont="1" applyFill="1"/>
    <xf numFmtId="0" fontId="8" fillId="10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9" borderId="17" xfId="0" applyFont="1" applyFill="1" applyBorder="1"/>
    <xf numFmtId="0" fontId="1" fillId="9" borderId="0" xfId="0" applyFont="1" applyFill="1" applyBorder="1"/>
    <xf numFmtId="0" fontId="1" fillId="0" borderId="0" xfId="0" applyFont="1" applyBorder="1"/>
    <xf numFmtId="1" fontId="1" fillId="0" borderId="0" xfId="0" applyNumberFormat="1" applyFont="1" applyBorder="1"/>
    <xf numFmtId="0" fontId="1" fillId="8" borderId="0" xfId="0" applyFont="1" applyFill="1" applyBorder="1"/>
    <xf numFmtId="0" fontId="1" fillId="8" borderId="18" xfId="0" applyFont="1" applyFill="1" applyBorder="1"/>
    <xf numFmtId="0" fontId="0" fillId="4" borderId="19" xfId="0" applyFill="1" applyBorder="1"/>
    <xf numFmtId="0" fontId="0" fillId="0" borderId="0" xfId="0" applyFont="1" applyBorder="1"/>
    <xf numFmtId="1" fontId="0" fillId="0" borderId="0" xfId="0" applyNumberFormat="1" applyFont="1" applyBorder="1"/>
    <xf numFmtId="0" fontId="8" fillId="10" borderId="18" xfId="0" applyFont="1" applyFill="1" applyBorder="1"/>
    <xf numFmtId="0" fontId="0" fillId="10" borderId="18" xfId="0" applyFont="1" applyFill="1" applyBorder="1"/>
    <xf numFmtId="1" fontId="0" fillId="0" borderId="0" xfId="0" applyNumberFormat="1" applyBorder="1"/>
    <xf numFmtId="0" fontId="1" fillId="0" borderId="20" xfId="0" applyFont="1" applyBorder="1"/>
    <xf numFmtId="0" fontId="1" fillId="0" borderId="21" xfId="0" applyFont="1" applyBorder="1"/>
    <xf numFmtId="0" fontId="0" fillId="0" borderId="21" xfId="0" applyBorder="1"/>
    <xf numFmtId="1" fontId="0" fillId="0" borderId="21" xfId="0" applyNumberFormat="1" applyBorder="1"/>
    <xf numFmtId="0" fontId="0" fillId="10" borderId="22" xfId="0" applyFill="1" applyBorder="1"/>
    <xf numFmtId="0" fontId="0" fillId="10" borderId="23" xfId="0" applyFont="1" applyFill="1" applyBorder="1"/>
    <xf numFmtId="0" fontId="0" fillId="10" borderId="24" xfId="0" applyFont="1" applyFill="1" applyBorder="1"/>
    <xf numFmtId="0" fontId="0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CCFF99"/>
      <color rgb="FFFFFF99"/>
      <color rgb="FFFFCC66"/>
      <color rgb="FFD9FDF4"/>
      <color rgb="FFF7D0C5"/>
      <color rgb="FFFAD2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zoomScale="85" zoomScaleNormal="85" workbookViewId="0">
      <pane ySplit="1" topLeftCell="A2" activePane="bottomLeft" state="frozen"/>
      <selection pane="bottomLeft" activeCell="R23" sqref="R23"/>
    </sheetView>
  </sheetViews>
  <sheetFormatPr defaultRowHeight="15" x14ac:dyDescent="0.25"/>
  <cols>
    <col min="1" max="1" width="29" customWidth="1"/>
    <col min="2" max="2" width="6.7109375" customWidth="1"/>
    <col min="3" max="3" width="34.140625" customWidth="1"/>
    <col min="4" max="4" width="6.7109375" customWidth="1"/>
    <col min="5" max="5" width="33.28515625" customWidth="1"/>
    <col min="6" max="6" width="6.7109375" customWidth="1"/>
    <col min="7" max="7" width="29.7109375" customWidth="1"/>
    <col min="8" max="8" width="6.7109375" customWidth="1"/>
    <col min="9" max="9" width="18.42578125" customWidth="1"/>
    <col min="10" max="10" width="6.7109375" customWidth="1"/>
    <col min="11" max="11" width="29.28515625" customWidth="1"/>
    <col min="12" max="12" width="6.7109375" customWidth="1"/>
    <col min="13" max="13" width="26" customWidth="1"/>
    <col min="15" max="15" width="38.28515625" customWidth="1"/>
  </cols>
  <sheetData>
    <row r="1" spans="1:15" s="2" customFormat="1" ht="18" x14ac:dyDescent="0.35">
      <c r="A1" s="2" t="s">
        <v>24</v>
      </c>
      <c r="C1" s="2" t="s">
        <v>26</v>
      </c>
      <c r="E1" s="9" t="s">
        <v>180</v>
      </c>
      <c r="F1" s="9"/>
      <c r="G1" s="9" t="s">
        <v>179</v>
      </c>
      <c r="H1" s="9"/>
      <c r="I1" s="9" t="s">
        <v>181</v>
      </c>
      <c r="J1" s="8"/>
      <c r="K1" s="9" t="s">
        <v>182</v>
      </c>
      <c r="L1" s="9"/>
      <c r="M1" s="9" t="s">
        <v>50</v>
      </c>
      <c r="O1" s="2" t="s">
        <v>183</v>
      </c>
    </row>
    <row r="2" spans="1:15" s="3" customFormat="1" x14ac:dyDescent="0.25">
      <c r="A2" s="24" t="s">
        <v>51</v>
      </c>
      <c r="C2" s="24" t="s">
        <v>120</v>
      </c>
      <c r="E2" s="24" t="s">
        <v>95</v>
      </c>
      <c r="K2" s="19" t="s">
        <v>275</v>
      </c>
    </row>
    <row r="3" spans="1:15" s="1" customFormat="1" x14ac:dyDescent="0.25">
      <c r="A3" s="26" t="s">
        <v>74</v>
      </c>
      <c r="C3" s="12" t="s">
        <v>64</v>
      </c>
      <c r="E3" s="12" t="s">
        <v>84</v>
      </c>
      <c r="K3" s="27" t="s">
        <v>55</v>
      </c>
    </row>
    <row r="4" spans="1:15" s="1" customFormat="1" x14ac:dyDescent="0.25">
      <c r="A4" s="26" t="s">
        <v>75</v>
      </c>
      <c r="C4" s="12" t="s">
        <v>65</v>
      </c>
      <c r="E4" s="12" t="s">
        <v>85</v>
      </c>
      <c r="K4" s="27" t="s">
        <v>52</v>
      </c>
    </row>
    <row r="5" spans="1:15" s="1" customFormat="1" x14ac:dyDescent="0.25">
      <c r="A5" s="26" t="s">
        <v>152</v>
      </c>
      <c r="C5" s="31" t="s">
        <v>156</v>
      </c>
      <c r="E5" s="12" t="s">
        <v>83</v>
      </c>
      <c r="K5" s="35" t="s">
        <v>53</v>
      </c>
    </row>
    <row r="6" spans="1:15" s="1" customFormat="1" x14ac:dyDescent="0.25">
      <c r="A6" s="26" t="s">
        <v>153</v>
      </c>
      <c r="C6" s="12" t="s">
        <v>66</v>
      </c>
      <c r="E6" s="12" t="s">
        <v>161</v>
      </c>
      <c r="K6" s="27" t="s">
        <v>54</v>
      </c>
    </row>
    <row r="7" spans="1:15" s="1" customFormat="1" x14ac:dyDescent="0.25">
      <c r="A7" s="12" t="s">
        <v>94</v>
      </c>
      <c r="C7" s="31" t="s">
        <v>77</v>
      </c>
      <c r="E7" s="12" t="s">
        <v>81</v>
      </c>
      <c r="K7" s="27" t="s">
        <v>61</v>
      </c>
    </row>
    <row r="8" spans="1:15" s="1" customFormat="1" x14ac:dyDescent="0.25">
      <c r="E8" s="12" t="s">
        <v>80</v>
      </c>
      <c r="K8" s="35" t="s">
        <v>56</v>
      </c>
    </row>
    <row r="9" spans="1:15" s="1" customFormat="1" x14ac:dyDescent="0.25">
      <c r="C9" s="10" t="s">
        <v>168</v>
      </c>
      <c r="E9" s="12" t="s">
        <v>13</v>
      </c>
      <c r="K9" s="27" t="s">
        <v>57</v>
      </c>
      <c r="M9" s="19" t="s">
        <v>50</v>
      </c>
      <c r="O9" s="19" t="s">
        <v>113</v>
      </c>
    </row>
    <row r="10" spans="1:15" s="3" customFormat="1" ht="13.15" customHeight="1" x14ac:dyDescent="0.25">
      <c r="A10" s="10" t="s">
        <v>22</v>
      </c>
      <c r="C10" s="16" t="s">
        <v>155</v>
      </c>
      <c r="G10"/>
      <c r="K10" s="27" t="s">
        <v>59</v>
      </c>
      <c r="M10" s="27" t="s">
        <v>164</v>
      </c>
      <c r="O10" s="27" t="s">
        <v>97</v>
      </c>
    </row>
    <row r="11" spans="1:15" ht="13.9" customHeight="1" x14ac:dyDescent="0.25">
      <c r="A11" s="15" t="s">
        <v>154</v>
      </c>
      <c r="C11" s="16" t="s">
        <v>141</v>
      </c>
      <c r="E11" s="10" t="s">
        <v>89</v>
      </c>
      <c r="K11" s="35" t="s">
        <v>58</v>
      </c>
      <c r="M11" s="27" t="s">
        <v>165</v>
      </c>
      <c r="O11" s="27" t="s">
        <v>63</v>
      </c>
    </row>
    <row r="12" spans="1:15" x14ac:dyDescent="0.25">
      <c r="A12" s="30" t="s">
        <v>67</v>
      </c>
      <c r="C12" s="16" t="s">
        <v>142</v>
      </c>
      <c r="E12" s="16" t="s">
        <v>157</v>
      </c>
      <c r="K12" s="27" t="s">
        <v>60</v>
      </c>
      <c r="M12" s="35" t="s">
        <v>166</v>
      </c>
      <c r="O12" s="27" t="s">
        <v>98</v>
      </c>
    </row>
    <row r="13" spans="1:15" x14ac:dyDescent="0.25">
      <c r="A13" s="30" t="s">
        <v>34</v>
      </c>
      <c r="C13" s="16" t="s">
        <v>169</v>
      </c>
      <c r="E13" s="16" t="s">
        <v>79</v>
      </c>
      <c r="G13" s="10" t="s">
        <v>88</v>
      </c>
      <c r="M13" s="27" t="s">
        <v>103</v>
      </c>
      <c r="O13" s="27" t="s">
        <v>99</v>
      </c>
    </row>
    <row r="14" spans="1:15" x14ac:dyDescent="0.25">
      <c r="A14" s="30" t="s">
        <v>68</v>
      </c>
      <c r="C14" s="16" t="s">
        <v>170</v>
      </c>
      <c r="E14" s="16" t="s">
        <v>147</v>
      </c>
      <c r="G14" s="16" t="s">
        <v>9</v>
      </c>
      <c r="M14" s="27" t="s">
        <v>104</v>
      </c>
      <c r="O14" s="27" t="s">
        <v>100</v>
      </c>
    </row>
    <row r="15" spans="1:15" x14ac:dyDescent="0.25">
      <c r="A15" s="15" t="s">
        <v>150</v>
      </c>
      <c r="C15" s="16" t="s">
        <v>148</v>
      </c>
      <c r="E15" s="16" t="s">
        <v>12</v>
      </c>
      <c r="G15" s="16" t="s">
        <v>0</v>
      </c>
      <c r="I15" s="10" t="s">
        <v>111</v>
      </c>
      <c r="M15" s="27" t="s">
        <v>105</v>
      </c>
      <c r="O15" s="27" t="s">
        <v>101</v>
      </c>
    </row>
    <row r="16" spans="1:15" x14ac:dyDescent="0.25">
      <c r="C16" s="16" t="s">
        <v>140</v>
      </c>
      <c r="E16" s="16" t="s">
        <v>10</v>
      </c>
      <c r="G16" s="34" t="s">
        <v>4</v>
      </c>
      <c r="I16" s="16" t="s">
        <v>46</v>
      </c>
      <c r="M16" s="27" t="s">
        <v>87</v>
      </c>
    </row>
    <row r="17" spans="1:15" x14ac:dyDescent="0.25">
      <c r="C17" s="16" t="s">
        <v>143</v>
      </c>
      <c r="E17" s="16" t="s">
        <v>11</v>
      </c>
      <c r="G17" s="16" t="s">
        <v>1</v>
      </c>
      <c r="I17" s="34" t="s">
        <v>48</v>
      </c>
      <c r="M17" s="27" t="s">
        <v>106</v>
      </c>
      <c r="O17" s="19" t="s">
        <v>102</v>
      </c>
    </row>
    <row r="18" spans="1:15" x14ac:dyDescent="0.25">
      <c r="C18" s="16" t="s">
        <v>144</v>
      </c>
      <c r="E18" s="34" t="s">
        <v>14</v>
      </c>
      <c r="I18" s="34" t="s">
        <v>47</v>
      </c>
      <c r="M18" s="27" t="s">
        <v>107</v>
      </c>
      <c r="O18" s="27" t="s">
        <v>5</v>
      </c>
    </row>
    <row r="19" spans="1:15" ht="18" x14ac:dyDescent="0.35">
      <c r="E19" s="34" t="s">
        <v>15</v>
      </c>
      <c r="I19" s="16" t="s">
        <v>163</v>
      </c>
      <c r="M19" s="35" t="s">
        <v>108</v>
      </c>
      <c r="O19" s="27" t="s">
        <v>6</v>
      </c>
    </row>
    <row r="20" spans="1:15" x14ac:dyDescent="0.25">
      <c r="C20" s="11" t="s">
        <v>145</v>
      </c>
      <c r="E20" s="34" t="s">
        <v>16</v>
      </c>
      <c r="M20" s="27" t="s">
        <v>109</v>
      </c>
      <c r="O20" s="27" t="s">
        <v>7</v>
      </c>
    </row>
    <row r="21" spans="1:15" x14ac:dyDescent="0.25">
      <c r="C21" s="13" t="s">
        <v>118</v>
      </c>
      <c r="I21" s="11" t="s">
        <v>112</v>
      </c>
      <c r="M21" s="35" t="s">
        <v>110</v>
      </c>
      <c r="O21" s="35" t="s">
        <v>8</v>
      </c>
    </row>
    <row r="22" spans="1:15" x14ac:dyDescent="0.25">
      <c r="A22" s="11" t="s">
        <v>23</v>
      </c>
      <c r="C22" s="13" t="s">
        <v>117</v>
      </c>
      <c r="E22" s="11" t="s">
        <v>86</v>
      </c>
      <c r="G22" s="11" t="s">
        <v>173</v>
      </c>
      <c r="I22" s="13" t="s">
        <v>46</v>
      </c>
      <c r="M22" s="27" t="s">
        <v>82</v>
      </c>
      <c r="O22" s="27" t="s">
        <v>274</v>
      </c>
    </row>
    <row r="23" spans="1:15" ht="18" x14ac:dyDescent="0.35">
      <c r="A23" s="13" t="s">
        <v>27</v>
      </c>
      <c r="B23" s="3"/>
      <c r="C23" s="13" t="s">
        <v>119</v>
      </c>
      <c r="E23" s="13" t="s">
        <v>62</v>
      </c>
      <c r="G23" s="13" t="s">
        <v>17</v>
      </c>
      <c r="I23" s="32" t="s">
        <v>278</v>
      </c>
    </row>
    <row r="24" spans="1:15" x14ac:dyDescent="0.25">
      <c r="A24" s="13" t="s">
        <v>28</v>
      </c>
      <c r="C24" s="13" t="s">
        <v>76</v>
      </c>
      <c r="E24" s="32" t="s">
        <v>87</v>
      </c>
      <c r="G24" s="13" t="s">
        <v>20</v>
      </c>
      <c r="I24" s="32" t="s">
        <v>48</v>
      </c>
    </row>
    <row r="25" spans="1:15" ht="18" x14ac:dyDescent="0.35">
      <c r="A25" s="13" t="s">
        <v>29</v>
      </c>
      <c r="C25" s="13" t="s">
        <v>69</v>
      </c>
      <c r="E25" s="13" t="s">
        <v>78</v>
      </c>
      <c r="G25" s="13" t="s">
        <v>19</v>
      </c>
      <c r="I25" s="32" t="s">
        <v>47</v>
      </c>
      <c r="O25" s="17" t="s">
        <v>167</v>
      </c>
    </row>
    <row r="26" spans="1:15" ht="18" x14ac:dyDescent="0.35">
      <c r="A26" s="14" t="s">
        <v>30</v>
      </c>
      <c r="C26" s="13" t="s">
        <v>71</v>
      </c>
      <c r="E26" s="13" t="s">
        <v>158</v>
      </c>
      <c r="G26" s="13" t="s">
        <v>18</v>
      </c>
      <c r="I26" s="13" t="s">
        <v>163</v>
      </c>
      <c r="O26" s="16" t="s">
        <v>114</v>
      </c>
    </row>
    <row r="27" spans="1:15" ht="18" x14ac:dyDescent="0.35">
      <c r="A27" s="13" t="s">
        <v>31</v>
      </c>
      <c r="C27" s="13" t="s">
        <v>70</v>
      </c>
      <c r="E27" s="13" t="s">
        <v>159</v>
      </c>
      <c r="G27" s="13" t="s">
        <v>21</v>
      </c>
      <c r="I27" s="13" t="s">
        <v>276</v>
      </c>
      <c r="O27" s="13" t="s">
        <v>115</v>
      </c>
    </row>
    <row r="28" spans="1:15" x14ac:dyDescent="0.25">
      <c r="A28" s="13" t="s">
        <v>32</v>
      </c>
      <c r="C28" s="13" t="s">
        <v>146</v>
      </c>
      <c r="E28" s="13" t="s">
        <v>160</v>
      </c>
      <c r="O28" s="18" t="s">
        <v>116</v>
      </c>
    </row>
    <row r="29" spans="1:15" x14ac:dyDescent="0.25">
      <c r="A29" s="13" t="s">
        <v>33</v>
      </c>
      <c r="C29" s="13" t="s">
        <v>73</v>
      </c>
      <c r="E29" s="32" t="s">
        <v>162</v>
      </c>
      <c r="I29" s="28" t="s">
        <v>139</v>
      </c>
    </row>
    <row r="30" spans="1:15" x14ac:dyDescent="0.25">
      <c r="C30" s="13" t="s">
        <v>72</v>
      </c>
      <c r="E30" s="13" t="s">
        <v>122</v>
      </c>
      <c r="I30" s="18" t="s">
        <v>46</v>
      </c>
    </row>
    <row r="31" spans="1:15" ht="18" x14ac:dyDescent="0.35">
      <c r="C31" s="32" t="s">
        <v>49</v>
      </c>
      <c r="I31" s="33" t="s">
        <v>278</v>
      </c>
      <c r="O31" s="25" t="s">
        <v>174</v>
      </c>
    </row>
    <row r="32" spans="1:15" x14ac:dyDescent="0.25">
      <c r="G32" s="28" t="s">
        <v>172</v>
      </c>
      <c r="I32" s="33" t="s">
        <v>48</v>
      </c>
      <c r="O32" s="22" t="s">
        <v>175</v>
      </c>
    </row>
    <row r="33" spans="1:15" x14ac:dyDescent="0.25">
      <c r="A33" s="28" t="s">
        <v>124</v>
      </c>
      <c r="C33" s="28" t="s">
        <v>132</v>
      </c>
      <c r="E33" s="28" t="s">
        <v>277</v>
      </c>
      <c r="G33" s="18" t="s">
        <v>2</v>
      </c>
      <c r="I33" s="33" t="s">
        <v>47</v>
      </c>
      <c r="O33" s="23" t="s">
        <v>176</v>
      </c>
    </row>
    <row r="34" spans="1:15" ht="18" x14ac:dyDescent="0.35">
      <c r="A34" s="18" t="s">
        <v>127</v>
      </c>
      <c r="C34" s="18" t="s">
        <v>133</v>
      </c>
      <c r="E34" s="18" t="s">
        <v>92</v>
      </c>
      <c r="G34" s="18" t="s">
        <v>3</v>
      </c>
      <c r="I34" s="18" t="s">
        <v>163</v>
      </c>
      <c r="O34" s="21" t="s">
        <v>177</v>
      </c>
    </row>
    <row r="35" spans="1:15" ht="18" x14ac:dyDescent="0.35">
      <c r="A35" s="18" t="s">
        <v>128</v>
      </c>
      <c r="C35" s="18" t="s">
        <v>134</v>
      </c>
      <c r="E35" s="18" t="s">
        <v>91</v>
      </c>
      <c r="I35" s="18" t="s">
        <v>276</v>
      </c>
      <c r="O35" s="20" t="s">
        <v>178</v>
      </c>
    </row>
    <row r="36" spans="1:15" x14ac:dyDescent="0.25">
      <c r="A36" s="18" t="s">
        <v>129</v>
      </c>
      <c r="C36" s="18" t="s">
        <v>135</v>
      </c>
      <c r="E36" s="18" t="s">
        <v>171</v>
      </c>
    </row>
    <row r="37" spans="1:15" x14ac:dyDescent="0.25">
      <c r="A37" s="18" t="s">
        <v>131</v>
      </c>
      <c r="C37" s="33" t="s">
        <v>137</v>
      </c>
      <c r="E37" s="18" t="s">
        <v>93</v>
      </c>
    </row>
    <row r="38" spans="1:15" x14ac:dyDescent="0.25">
      <c r="A38" s="18" t="s">
        <v>130</v>
      </c>
      <c r="C38" s="33" t="s">
        <v>138</v>
      </c>
      <c r="E38" s="33" t="s">
        <v>123</v>
      </c>
    </row>
    <row r="39" spans="1:15" ht="14.45" x14ac:dyDescent="0.3">
      <c r="A39" s="18" t="s">
        <v>125</v>
      </c>
    </row>
    <row r="40" spans="1:15" ht="14.45" x14ac:dyDescent="0.3">
      <c r="A40" s="18" t="s">
        <v>136</v>
      </c>
    </row>
    <row r="41" spans="1:15" ht="14.45" x14ac:dyDescent="0.3">
      <c r="A41" s="18" t="s">
        <v>126</v>
      </c>
    </row>
    <row r="43" spans="1:15" x14ac:dyDescent="0.25">
      <c r="A43" s="6" t="s">
        <v>25</v>
      </c>
    </row>
    <row r="44" spans="1:15" x14ac:dyDescent="0.25">
      <c r="A44" s="7" t="s">
        <v>35</v>
      </c>
    </row>
    <row r="45" spans="1:15" x14ac:dyDescent="0.25">
      <c r="A45" s="7" t="s">
        <v>36</v>
      </c>
    </row>
    <row r="46" spans="1:15" x14ac:dyDescent="0.25">
      <c r="A46" s="7" t="s">
        <v>96</v>
      </c>
    </row>
    <row r="47" spans="1:15" x14ac:dyDescent="0.25">
      <c r="A47" s="7" t="s">
        <v>37</v>
      </c>
    </row>
    <row r="48" spans="1:15" x14ac:dyDescent="0.25">
      <c r="A48" s="7" t="s">
        <v>38</v>
      </c>
      <c r="C48" s="3"/>
    </row>
    <row r="49" spans="1:3" x14ac:dyDescent="0.25">
      <c r="A49" s="7" t="s">
        <v>39</v>
      </c>
    </row>
    <row r="50" spans="1:3" x14ac:dyDescent="0.25">
      <c r="A50" s="7" t="s">
        <v>40</v>
      </c>
    </row>
    <row r="51" spans="1:3" x14ac:dyDescent="0.25">
      <c r="A51" s="7" t="s">
        <v>41</v>
      </c>
    </row>
    <row r="52" spans="1:3" x14ac:dyDescent="0.25">
      <c r="A52" s="7" t="s">
        <v>42</v>
      </c>
    </row>
    <row r="53" spans="1:3" x14ac:dyDescent="0.25">
      <c r="A53" s="7" t="s">
        <v>43</v>
      </c>
    </row>
    <row r="54" spans="1:3" x14ac:dyDescent="0.25">
      <c r="A54" s="7" t="s">
        <v>44</v>
      </c>
    </row>
    <row r="55" spans="1:3" x14ac:dyDescent="0.25">
      <c r="A55" s="7" t="s">
        <v>45</v>
      </c>
    </row>
    <row r="57" spans="1:3" x14ac:dyDescent="0.25">
      <c r="C57" s="3"/>
    </row>
    <row r="63" spans="1:3" x14ac:dyDescent="0.25">
      <c r="C63" s="3"/>
    </row>
    <row r="67" spans="3:3" x14ac:dyDescent="0.25">
      <c r="C67" s="4"/>
    </row>
    <row r="68" spans="3:3" x14ac:dyDescent="0.25">
      <c r="C68" s="5"/>
    </row>
    <row r="69" spans="3:3" x14ac:dyDescent="0.25">
      <c r="C69" s="5"/>
    </row>
  </sheetData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abSelected="1" topLeftCell="I1" zoomScale="68" zoomScaleNormal="68" workbookViewId="0">
      <selection activeCell="R34" sqref="R34"/>
    </sheetView>
  </sheetViews>
  <sheetFormatPr defaultRowHeight="15" x14ac:dyDescent="0.25"/>
  <cols>
    <col min="1" max="1" width="27.85546875" customWidth="1"/>
    <col min="2" max="2" width="14.28515625" customWidth="1"/>
    <col min="3" max="3" width="16.7109375" customWidth="1"/>
    <col min="4" max="4" width="15.85546875" customWidth="1"/>
    <col min="5" max="5" width="4.7109375" customWidth="1"/>
    <col min="6" max="6" width="31.28515625" customWidth="1"/>
    <col min="7" max="7" width="20.28515625" customWidth="1"/>
    <col min="8" max="8" width="21.5703125" customWidth="1"/>
    <col min="9" max="9" width="26" customWidth="1"/>
    <col min="10" max="10" width="14.28515625" customWidth="1"/>
    <col min="11" max="11" width="4.42578125" customWidth="1"/>
    <col min="12" max="12" width="30.42578125" customWidth="1"/>
    <col min="13" max="13" width="36.28515625" customWidth="1"/>
    <col min="14" max="14" width="14.7109375" customWidth="1"/>
    <col min="15" max="15" width="4.42578125" customWidth="1"/>
    <col min="16" max="16" width="26.85546875" customWidth="1"/>
    <col min="17" max="17" width="6.5703125" customWidth="1"/>
    <col min="18" max="18" width="8.7109375" customWidth="1"/>
    <col min="19" max="19" width="4.5703125" customWidth="1"/>
    <col min="20" max="20" width="41.7109375" customWidth="1"/>
    <col min="21" max="21" width="6.28515625" customWidth="1"/>
    <col min="22" max="22" width="9.28515625" style="182" customWidth="1"/>
    <col min="23" max="23" width="4.7109375" customWidth="1"/>
    <col min="24" max="24" width="29.7109375" customWidth="1"/>
    <col min="25" max="25" width="6.7109375" customWidth="1"/>
    <col min="26" max="26" width="12.42578125" customWidth="1"/>
    <col min="27" max="27" width="4.5703125" customWidth="1"/>
    <col min="28" max="28" width="23.42578125" customWidth="1"/>
    <col min="29" max="29" width="5.28515625" customWidth="1"/>
    <col min="30" max="30" width="7.140625" customWidth="1"/>
    <col min="31" max="32" width="9.7109375" customWidth="1"/>
    <col min="33" max="33" width="5.28515625" customWidth="1"/>
    <col min="34" max="34" width="52" customWidth="1"/>
    <col min="35" max="35" width="8.28515625" customWidth="1"/>
    <col min="36" max="36" width="10.85546875" customWidth="1"/>
    <col min="37" max="37" width="10.7109375" style="182" customWidth="1"/>
  </cols>
  <sheetData>
    <row r="1" spans="1:38" s="29" customFormat="1" ht="18.75" x14ac:dyDescent="0.3">
      <c r="A1" s="9" t="s">
        <v>24</v>
      </c>
      <c r="B1" s="9"/>
      <c r="E1" s="9"/>
      <c r="F1" s="9" t="s">
        <v>26</v>
      </c>
      <c r="G1" s="9"/>
      <c r="H1" s="173"/>
      <c r="I1" s="9"/>
      <c r="J1" s="9"/>
      <c r="K1" s="9"/>
      <c r="L1" s="264" t="s">
        <v>273</v>
      </c>
      <c r="M1" s="265"/>
      <c r="N1" s="265"/>
      <c r="O1" s="265"/>
      <c r="P1" s="266" t="s">
        <v>179</v>
      </c>
      <c r="Q1" s="266"/>
      <c r="R1" s="266"/>
      <c r="S1" s="265"/>
      <c r="T1" s="265" t="s">
        <v>181</v>
      </c>
      <c r="U1" s="265"/>
      <c r="V1" s="267"/>
      <c r="W1" s="265"/>
      <c r="X1" s="265" t="s">
        <v>182</v>
      </c>
      <c r="Y1" s="265"/>
      <c r="Z1" s="268"/>
      <c r="AA1" s="9"/>
      <c r="AB1" s="9" t="s">
        <v>50</v>
      </c>
      <c r="AC1" s="9"/>
      <c r="AD1" s="9"/>
      <c r="AE1" s="9"/>
      <c r="AF1" s="9"/>
      <c r="AG1" s="9"/>
      <c r="AH1" s="9" t="s">
        <v>183</v>
      </c>
      <c r="AK1" s="252"/>
    </row>
    <row r="2" spans="1:38" x14ac:dyDescent="0.25">
      <c r="A2" s="24" t="s">
        <v>51</v>
      </c>
      <c r="B2" s="230" t="s">
        <v>315</v>
      </c>
      <c r="C2" s="231"/>
      <c r="D2" s="24"/>
      <c r="E2" s="3"/>
      <c r="F2" s="24" t="s">
        <v>120</v>
      </c>
      <c r="G2" s="230" t="s">
        <v>315</v>
      </c>
      <c r="H2" s="236"/>
      <c r="I2" s="231"/>
      <c r="J2" s="24"/>
      <c r="K2" s="3"/>
      <c r="L2" s="269" t="s">
        <v>95</v>
      </c>
      <c r="M2" s="81" t="s">
        <v>315</v>
      </c>
      <c r="N2" s="270"/>
      <c r="O2" s="271"/>
      <c r="P2" s="271"/>
      <c r="Q2" s="271"/>
      <c r="R2" s="271"/>
      <c r="S2" s="271"/>
      <c r="T2" s="271"/>
      <c r="U2" s="271"/>
      <c r="V2" s="272"/>
      <c r="W2" s="271"/>
      <c r="X2" s="273" t="s">
        <v>121</v>
      </c>
      <c r="Y2" s="98" t="s">
        <v>315</v>
      </c>
      <c r="Z2" s="274"/>
      <c r="AA2" s="3"/>
      <c r="AB2" s="3"/>
      <c r="AC2" s="3"/>
      <c r="AD2" s="3"/>
      <c r="AE2" s="3"/>
      <c r="AF2" s="3"/>
      <c r="AG2" s="3"/>
      <c r="AH2" s="3"/>
      <c r="AI2" s="1"/>
      <c r="AJ2" s="1"/>
      <c r="AK2" s="243"/>
    </row>
    <row r="3" spans="1:38" x14ac:dyDescent="0.25">
      <c r="A3" s="55" t="s">
        <v>74</v>
      </c>
      <c r="B3" s="57" t="s">
        <v>279</v>
      </c>
      <c r="C3" s="58" t="s">
        <v>283</v>
      </c>
      <c r="D3" s="36"/>
      <c r="E3" s="1"/>
      <c r="F3" s="56" t="s">
        <v>425</v>
      </c>
      <c r="G3" s="57" t="s">
        <v>426</v>
      </c>
      <c r="H3" s="36"/>
      <c r="I3" s="58" t="s">
        <v>427</v>
      </c>
      <c r="J3" s="36"/>
      <c r="K3" s="1"/>
      <c r="L3" s="275" t="s">
        <v>423</v>
      </c>
      <c r="M3" s="82" t="s">
        <v>424</v>
      </c>
      <c r="N3" s="37">
        <f>J3+J4+D4</f>
        <v>0</v>
      </c>
      <c r="O3" s="276"/>
      <c r="P3" s="276"/>
      <c r="Q3" s="276"/>
      <c r="R3" s="276"/>
      <c r="S3" s="276"/>
      <c r="T3" s="276"/>
      <c r="U3" s="276"/>
      <c r="V3" s="277"/>
      <c r="W3" s="276"/>
      <c r="X3" s="256" t="s">
        <v>185</v>
      </c>
      <c r="Y3" s="261" t="s">
        <v>303</v>
      </c>
      <c r="Z3" s="278"/>
      <c r="AA3" s="1"/>
      <c r="AB3" s="1"/>
      <c r="AC3" s="1"/>
      <c r="AD3" s="1"/>
      <c r="AE3" s="1"/>
      <c r="AF3" s="1"/>
      <c r="AG3" s="1"/>
      <c r="AH3" s="1"/>
      <c r="AI3" s="1"/>
      <c r="AJ3" s="1"/>
      <c r="AK3" s="243"/>
    </row>
    <row r="4" spans="1:38" x14ac:dyDescent="0.25">
      <c r="A4" s="55" t="s">
        <v>75</v>
      </c>
      <c r="B4" s="57"/>
      <c r="C4" s="58"/>
      <c r="D4" s="36"/>
      <c r="E4" s="1"/>
      <c r="F4" s="56" t="s">
        <v>184</v>
      </c>
      <c r="G4" s="57" t="s">
        <v>279</v>
      </c>
      <c r="H4" s="36"/>
      <c r="I4" s="58" t="s">
        <v>428</v>
      </c>
      <c r="J4" s="36"/>
      <c r="K4" s="1"/>
      <c r="L4" s="275" t="s">
        <v>429</v>
      </c>
      <c r="M4" s="82" t="s">
        <v>430</v>
      </c>
      <c r="N4" s="37">
        <f>J3+J4+D4</f>
        <v>0</v>
      </c>
      <c r="O4" s="276"/>
      <c r="P4" s="122" t="s">
        <v>408</v>
      </c>
      <c r="Q4" s="276">
        <v>0.75</v>
      </c>
      <c r="R4" s="276"/>
      <c r="S4" s="276"/>
      <c r="T4" s="276"/>
      <c r="U4" s="276"/>
      <c r="V4" s="277"/>
      <c r="W4" s="276"/>
      <c r="X4" s="256" t="s">
        <v>187</v>
      </c>
      <c r="Y4" s="261" t="s">
        <v>303</v>
      </c>
      <c r="Z4" s="278"/>
      <c r="AA4" s="1"/>
      <c r="AB4" s="1"/>
      <c r="AC4" s="1"/>
      <c r="AD4" s="1"/>
      <c r="AE4" s="1"/>
      <c r="AF4" s="1"/>
      <c r="AG4" s="1"/>
      <c r="AH4" s="1"/>
      <c r="AI4" s="1"/>
      <c r="AJ4" s="1"/>
      <c r="AK4" s="243"/>
    </row>
    <row r="5" spans="1:38" x14ac:dyDescent="0.25">
      <c r="A5" s="55" t="s">
        <v>152</v>
      </c>
      <c r="B5" s="57" t="s">
        <v>285</v>
      </c>
      <c r="C5" s="58"/>
      <c r="D5" s="36"/>
      <c r="E5" s="1"/>
      <c r="F5" s="56" t="s">
        <v>186</v>
      </c>
      <c r="G5" s="61" t="s">
        <v>288</v>
      </c>
      <c r="H5" s="37"/>
      <c r="I5" s="62"/>
      <c r="J5" s="37"/>
      <c r="K5" s="1"/>
      <c r="L5" s="275"/>
      <c r="M5" s="82"/>
      <c r="N5" s="37"/>
      <c r="O5" s="276"/>
      <c r="P5" s="276" t="s">
        <v>409</v>
      </c>
      <c r="Q5" s="276">
        <v>0.25</v>
      </c>
      <c r="R5" s="122"/>
      <c r="S5" s="276"/>
      <c r="T5" s="276"/>
      <c r="U5" s="276"/>
      <c r="V5" s="277"/>
      <c r="W5" s="276"/>
      <c r="X5" s="256" t="s">
        <v>190</v>
      </c>
      <c r="Y5" s="99" t="s">
        <v>303</v>
      </c>
      <c r="Z5" s="279"/>
      <c r="AA5" s="1"/>
      <c r="AB5" s="1"/>
      <c r="AC5" s="1"/>
      <c r="AD5" s="1"/>
      <c r="AE5" s="1"/>
      <c r="AF5" s="1"/>
      <c r="AG5" s="1"/>
      <c r="AH5" s="1"/>
      <c r="AI5" s="1"/>
      <c r="AJ5" s="1"/>
      <c r="AK5" s="243"/>
    </row>
    <row r="6" spans="1:38" x14ac:dyDescent="0.25">
      <c r="A6" s="55" t="s">
        <v>153</v>
      </c>
      <c r="B6" s="57" t="s">
        <v>286</v>
      </c>
      <c r="C6" s="58"/>
      <c r="D6" s="36"/>
      <c r="E6" s="1"/>
      <c r="F6" s="56" t="s">
        <v>188</v>
      </c>
      <c r="G6" s="61" t="s">
        <v>149</v>
      </c>
      <c r="H6" s="37"/>
      <c r="I6" s="62" t="s">
        <v>289</v>
      </c>
      <c r="J6" s="37"/>
      <c r="K6" s="1"/>
      <c r="L6" s="275" t="s">
        <v>189</v>
      </c>
      <c r="M6" s="82" t="s">
        <v>293</v>
      </c>
      <c r="N6" s="37">
        <f>J7+D4</f>
        <v>0</v>
      </c>
      <c r="O6" s="276"/>
      <c r="P6" s="276"/>
      <c r="Q6" s="276"/>
      <c r="R6" s="122"/>
      <c r="S6" s="276"/>
      <c r="T6" s="276"/>
      <c r="U6" s="276"/>
      <c r="V6" s="277"/>
      <c r="W6" s="276"/>
      <c r="X6" s="97" t="s">
        <v>192</v>
      </c>
      <c r="Y6" s="99" t="s">
        <v>303</v>
      </c>
      <c r="Z6" s="279"/>
      <c r="AA6" s="1"/>
      <c r="AB6" s="1"/>
      <c r="AC6" s="1"/>
      <c r="AD6" s="1"/>
      <c r="AE6" s="1"/>
      <c r="AF6" s="1"/>
      <c r="AG6" s="1"/>
      <c r="AH6" s="1"/>
      <c r="AI6" s="1"/>
      <c r="AJ6" s="1"/>
      <c r="AK6" s="243"/>
    </row>
    <row r="7" spans="1:38" x14ac:dyDescent="0.25">
      <c r="A7" s="56" t="s">
        <v>94</v>
      </c>
      <c r="B7" s="59" t="s">
        <v>287</v>
      </c>
      <c r="C7" s="60"/>
      <c r="D7" s="37"/>
      <c r="E7" s="1"/>
      <c r="F7" s="56" t="s">
        <v>191</v>
      </c>
      <c r="G7" s="61" t="s">
        <v>290</v>
      </c>
      <c r="H7" s="37"/>
      <c r="I7" s="62"/>
      <c r="J7" s="37"/>
      <c r="K7" s="1"/>
      <c r="L7" s="275" t="s">
        <v>417</v>
      </c>
      <c r="M7" s="82" t="s">
        <v>420</v>
      </c>
      <c r="N7" s="37">
        <f>J3+D4+D5</f>
        <v>0</v>
      </c>
      <c r="O7" s="276"/>
      <c r="P7" s="122" t="s">
        <v>411</v>
      </c>
      <c r="Q7" s="122">
        <v>0.9</v>
      </c>
      <c r="R7" s="122"/>
      <c r="S7" s="276"/>
      <c r="T7" s="276"/>
      <c r="U7" s="276"/>
      <c r="V7" s="277"/>
      <c r="W7" s="276"/>
      <c r="X7" s="97" t="s">
        <v>195</v>
      </c>
      <c r="Y7" s="99" t="s">
        <v>303</v>
      </c>
      <c r="Z7" s="279">
        <f>N6</f>
        <v>0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243"/>
    </row>
    <row r="8" spans="1:38" x14ac:dyDescent="0.25">
      <c r="A8" s="1"/>
      <c r="B8" s="1"/>
      <c r="C8" s="1"/>
      <c r="D8" s="1"/>
      <c r="E8" s="1"/>
      <c r="F8" s="56" t="s">
        <v>193</v>
      </c>
      <c r="G8" s="59" t="s">
        <v>291</v>
      </c>
      <c r="H8" s="208"/>
      <c r="I8" s="60" t="s">
        <v>292</v>
      </c>
      <c r="J8" s="37"/>
      <c r="K8" s="1"/>
      <c r="L8" s="275" t="s">
        <v>418</v>
      </c>
      <c r="M8" s="82" t="s">
        <v>419</v>
      </c>
      <c r="N8" s="37">
        <f>J3+D4+D6</f>
        <v>0</v>
      </c>
      <c r="O8" s="276"/>
      <c r="P8" s="276" t="s">
        <v>410</v>
      </c>
      <c r="Q8" s="276">
        <v>0.1</v>
      </c>
      <c r="R8" s="122"/>
      <c r="S8" s="276"/>
      <c r="T8" s="276"/>
      <c r="U8" s="276"/>
      <c r="V8" s="277"/>
      <c r="W8" s="276"/>
      <c r="X8" s="97" t="s">
        <v>197</v>
      </c>
      <c r="Y8" s="99" t="s">
        <v>303</v>
      </c>
      <c r="Z8" s="279"/>
      <c r="AA8" s="1"/>
      <c r="AB8" s="1"/>
      <c r="AC8" s="1"/>
      <c r="AD8" s="1" t="s">
        <v>50</v>
      </c>
      <c r="AE8" s="1"/>
      <c r="AF8" s="1"/>
      <c r="AG8" s="1"/>
      <c r="AH8" s="1"/>
      <c r="AI8" s="1"/>
      <c r="AJ8" s="1"/>
      <c r="AK8" s="243"/>
    </row>
    <row r="9" spans="1:3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75" t="s">
        <v>194</v>
      </c>
      <c r="M9" s="82" t="s">
        <v>294</v>
      </c>
      <c r="N9" s="37">
        <f>J3+J4+D4+D5</f>
        <v>0</v>
      </c>
      <c r="O9" s="276"/>
      <c r="P9" s="122"/>
      <c r="Q9" s="122"/>
      <c r="R9" s="122"/>
      <c r="S9" s="276"/>
      <c r="T9" s="276"/>
      <c r="U9" s="276"/>
      <c r="V9" s="277"/>
      <c r="W9" s="276"/>
      <c r="X9" s="97" t="s">
        <v>199</v>
      </c>
      <c r="Y9" s="99" t="s">
        <v>303</v>
      </c>
      <c r="Z9" s="279">
        <f>N7+N10*N11</f>
        <v>0</v>
      </c>
      <c r="AA9" s="1"/>
      <c r="AB9" s="19" t="s">
        <v>50</v>
      </c>
      <c r="AC9" s="101" t="s">
        <v>304</v>
      </c>
      <c r="AD9" s="102" t="s">
        <v>304</v>
      </c>
      <c r="AE9" s="103" t="s">
        <v>305</v>
      </c>
      <c r="AF9" s="50"/>
      <c r="AG9" s="48"/>
      <c r="AH9" s="19" t="s">
        <v>113</v>
      </c>
      <c r="AI9" s="101" t="s">
        <v>311</v>
      </c>
      <c r="AJ9" s="103" t="s">
        <v>312</v>
      </c>
      <c r="AK9" s="253"/>
    </row>
    <row r="10" spans="1:38" x14ac:dyDescent="0.25">
      <c r="A10" s="10" t="s">
        <v>22</v>
      </c>
      <c r="B10" s="232" t="s">
        <v>315</v>
      </c>
      <c r="C10" s="233"/>
      <c r="D10" s="10"/>
      <c r="E10" s="3"/>
      <c r="F10" s="10" t="s">
        <v>168</v>
      </c>
      <c r="G10" s="172" t="s">
        <v>149</v>
      </c>
      <c r="H10" s="211" t="s">
        <v>394</v>
      </c>
      <c r="I10" s="211" t="s">
        <v>395</v>
      </c>
      <c r="J10" s="212" t="s">
        <v>396</v>
      </c>
      <c r="K10" s="3"/>
      <c r="L10" s="275" t="s">
        <v>196</v>
      </c>
      <c r="M10" s="82" t="s">
        <v>295</v>
      </c>
      <c r="N10" s="37">
        <f>J4+D5+D6+D7</f>
        <v>0</v>
      </c>
      <c r="O10" s="271"/>
      <c r="P10" s="122"/>
      <c r="Q10" s="122"/>
      <c r="R10" s="122"/>
      <c r="S10" s="271"/>
      <c r="T10" s="271"/>
      <c r="U10" s="271"/>
      <c r="V10" s="272"/>
      <c r="W10" s="271"/>
      <c r="X10" s="97" t="s">
        <v>422</v>
      </c>
      <c r="Y10" s="99" t="s">
        <v>303</v>
      </c>
      <c r="Z10" s="279">
        <f>N8+N10*N11</f>
        <v>0</v>
      </c>
      <c r="AA10" s="3"/>
      <c r="AB10" s="100" t="s">
        <v>201</v>
      </c>
      <c r="AC10" s="104" t="s">
        <v>303</v>
      </c>
      <c r="AD10" s="105"/>
      <c r="AE10" s="106"/>
      <c r="AF10" s="53">
        <f>J32</f>
        <v>0</v>
      </c>
      <c r="AG10" s="49"/>
      <c r="AH10" s="100" t="s">
        <v>202</v>
      </c>
      <c r="AI10" s="111" t="s">
        <v>303</v>
      </c>
      <c r="AJ10" s="107" t="s">
        <v>303</v>
      </c>
      <c r="AK10" s="254"/>
    </row>
    <row r="11" spans="1:38" x14ac:dyDescent="0.25">
      <c r="A11" s="63" t="s">
        <v>154</v>
      </c>
      <c r="B11" s="65" t="s">
        <v>314</v>
      </c>
      <c r="C11" s="66"/>
      <c r="D11" s="38"/>
      <c r="F11" s="78" t="s">
        <v>200</v>
      </c>
      <c r="G11" s="213">
        <v>100</v>
      </c>
      <c r="H11" s="214">
        <v>1</v>
      </c>
      <c r="I11" s="214">
        <v>1</v>
      </c>
      <c r="J11" s="224">
        <f>G11/H11</f>
        <v>100</v>
      </c>
      <c r="L11" s="275" t="s">
        <v>198</v>
      </c>
      <c r="M11" s="83" t="s">
        <v>421</v>
      </c>
      <c r="N11" s="37">
        <f>D4+D6</f>
        <v>0</v>
      </c>
      <c r="O11" s="122"/>
      <c r="P11" s="122"/>
      <c r="Q11" s="122"/>
      <c r="R11" s="122"/>
      <c r="S11" s="122"/>
      <c r="T11" s="122"/>
      <c r="U11" s="122"/>
      <c r="V11" s="280"/>
      <c r="W11" s="122"/>
      <c r="X11" s="97" t="s">
        <v>203</v>
      </c>
      <c r="Y11" s="99" t="s">
        <v>303</v>
      </c>
      <c r="Z11" s="279"/>
      <c r="AB11" s="100"/>
      <c r="AC11" s="104"/>
      <c r="AD11" s="105"/>
      <c r="AE11" s="106"/>
      <c r="AF11" s="53"/>
      <c r="AG11" s="49"/>
      <c r="AH11" s="100" t="s">
        <v>204</v>
      </c>
      <c r="AI11" s="111" t="s">
        <v>303</v>
      </c>
      <c r="AJ11" s="107" t="s">
        <v>303</v>
      </c>
      <c r="AK11" s="254"/>
    </row>
    <row r="12" spans="1:38" ht="15.75" thickBot="1" x14ac:dyDescent="0.3">
      <c r="A12" s="64" t="s">
        <v>67</v>
      </c>
      <c r="B12" s="65"/>
      <c r="C12" s="66"/>
      <c r="D12" s="38"/>
      <c r="F12" s="78" t="s">
        <v>398</v>
      </c>
      <c r="G12" s="213">
        <v>100</v>
      </c>
      <c r="H12" s="214">
        <v>10</v>
      </c>
      <c r="I12" s="214">
        <v>1</v>
      </c>
      <c r="J12" s="224">
        <f t="shared" ref="J12" si="0">G12/H12</f>
        <v>10</v>
      </c>
      <c r="L12" s="281"/>
      <c r="M12" s="282"/>
      <c r="N12" s="282"/>
      <c r="O12" s="283"/>
      <c r="P12" s="283"/>
      <c r="Q12" s="283"/>
      <c r="R12" s="283"/>
      <c r="S12" s="283"/>
      <c r="T12" s="283"/>
      <c r="U12" s="283"/>
      <c r="V12" s="284"/>
      <c r="W12" s="283"/>
      <c r="X12" s="285" t="s">
        <v>206</v>
      </c>
      <c r="Y12" s="286" t="s">
        <v>303</v>
      </c>
      <c r="Z12" s="287"/>
      <c r="AB12" s="100" t="s">
        <v>207</v>
      </c>
      <c r="AC12" s="104" t="s">
        <v>303</v>
      </c>
      <c r="AD12" s="105"/>
      <c r="AE12" s="106"/>
      <c r="AF12" s="53">
        <f>J32</f>
        <v>0</v>
      </c>
      <c r="AG12" s="49"/>
      <c r="AH12" s="100" t="s">
        <v>208</v>
      </c>
      <c r="AI12" s="111" t="s">
        <v>303</v>
      </c>
      <c r="AJ12" s="107" t="s">
        <v>303</v>
      </c>
      <c r="AK12" s="254"/>
    </row>
    <row r="13" spans="1:38" x14ac:dyDescent="0.25">
      <c r="A13" s="64" t="s">
        <v>34</v>
      </c>
      <c r="B13" s="65"/>
      <c r="C13" s="66"/>
      <c r="D13" s="38"/>
      <c r="F13" s="78" t="s">
        <v>400</v>
      </c>
      <c r="G13" s="213">
        <v>100</v>
      </c>
      <c r="H13" s="214">
        <v>20</v>
      </c>
      <c r="I13" s="214">
        <v>1</v>
      </c>
      <c r="J13" s="224">
        <f t="shared" ref="J13" si="1">G13/H13</f>
        <v>5</v>
      </c>
      <c r="L13" s="10" t="s">
        <v>397</v>
      </c>
      <c r="M13" s="262" t="s">
        <v>315</v>
      </c>
      <c r="N13" s="10"/>
      <c r="O13" s="1"/>
      <c r="P13" s="10" t="s">
        <v>88</v>
      </c>
      <c r="Q13" s="263" t="s">
        <v>315</v>
      </c>
      <c r="R13" s="10"/>
      <c r="S13" s="1"/>
      <c r="T13" s="1"/>
      <c r="U13" s="1"/>
      <c r="V13" s="243"/>
      <c r="W13" s="1"/>
      <c r="X13" s="1"/>
      <c r="Y13" s="1"/>
      <c r="Z13" s="1"/>
      <c r="AA13" s="1"/>
      <c r="AB13" s="100" t="s">
        <v>209</v>
      </c>
      <c r="AC13" s="104" t="s">
        <v>303</v>
      </c>
      <c r="AD13" s="52"/>
      <c r="AE13" s="107"/>
      <c r="AF13" s="51"/>
      <c r="AG13" s="1"/>
      <c r="AH13" s="100" t="s">
        <v>210</v>
      </c>
      <c r="AI13" s="111" t="s">
        <v>303</v>
      </c>
      <c r="AJ13" s="107" t="s">
        <v>303</v>
      </c>
      <c r="AK13" s="254"/>
      <c r="AL13" s="1"/>
    </row>
    <row r="14" spans="1:38" x14ac:dyDescent="0.25">
      <c r="A14" s="64" t="s">
        <v>68</v>
      </c>
      <c r="B14" s="65"/>
      <c r="C14" s="66"/>
      <c r="D14" s="38"/>
      <c r="F14" s="78" t="s">
        <v>399</v>
      </c>
      <c r="G14" s="213">
        <v>100</v>
      </c>
      <c r="H14" s="214">
        <v>100</v>
      </c>
      <c r="I14" s="214">
        <v>1</v>
      </c>
      <c r="J14" s="224">
        <f>G14/H14</f>
        <v>1</v>
      </c>
      <c r="L14" s="78" t="s">
        <v>200</v>
      </c>
      <c r="M14" s="163"/>
      <c r="N14" s="220">
        <v>0</v>
      </c>
      <c r="O14" s="1"/>
      <c r="P14" s="84" t="s">
        <v>211</v>
      </c>
      <c r="Q14" s="85" t="s">
        <v>282</v>
      </c>
      <c r="R14" s="219">
        <f>Q7*(N19*J15+N19*J16)*data!G26/1000000</f>
        <v>2.4299999999999999E-2</v>
      </c>
      <c r="S14" s="1"/>
      <c r="T14" s="1"/>
      <c r="U14" s="1"/>
      <c r="V14" s="243"/>
      <c r="W14" s="1"/>
      <c r="X14" s="1"/>
      <c r="Y14" s="1"/>
      <c r="Z14" s="1"/>
      <c r="AA14" s="1"/>
      <c r="AB14" s="100" t="s">
        <v>212</v>
      </c>
      <c r="AC14" s="104"/>
      <c r="AD14" s="52" t="s">
        <v>307</v>
      </c>
      <c r="AE14" s="107"/>
      <c r="AF14" s="51">
        <f>N32</f>
        <v>0</v>
      </c>
      <c r="AG14" s="1"/>
      <c r="AH14" s="100" t="s">
        <v>213</v>
      </c>
      <c r="AI14" s="111" t="s">
        <v>303</v>
      </c>
      <c r="AJ14" s="107" t="s">
        <v>303</v>
      </c>
      <c r="AK14" s="254"/>
      <c r="AL14" s="1"/>
    </row>
    <row r="15" spans="1:38" x14ac:dyDescent="0.25">
      <c r="A15" s="63" t="s">
        <v>284</v>
      </c>
      <c r="B15" s="67" t="s">
        <v>151</v>
      </c>
      <c r="C15" s="68"/>
      <c r="D15" s="38"/>
      <c r="F15" s="78" t="s">
        <v>392</v>
      </c>
      <c r="G15" s="213">
        <v>100</v>
      </c>
      <c r="H15" s="214">
        <v>1</v>
      </c>
      <c r="I15" s="214">
        <v>1</v>
      </c>
      <c r="J15" s="224">
        <f>G15/H15</f>
        <v>100</v>
      </c>
      <c r="L15" s="84" t="s">
        <v>398</v>
      </c>
      <c r="M15" s="164" t="s">
        <v>405</v>
      </c>
      <c r="N15" s="220">
        <v>25</v>
      </c>
      <c r="O15" s="1"/>
      <c r="P15" s="84" t="s">
        <v>214</v>
      </c>
      <c r="Q15" s="85" t="s">
        <v>282</v>
      </c>
      <c r="R15" s="219">
        <f>Q4*(N15*J12)*data!G27/1000000</f>
        <v>8.4375000000000006E-3</v>
      </c>
      <c r="S15" s="1"/>
      <c r="T15" s="10" t="s">
        <v>111</v>
      </c>
      <c r="U15" s="94" t="s">
        <v>315</v>
      </c>
      <c r="V15" s="244"/>
      <c r="W15" s="54"/>
      <c r="X15" s="1"/>
      <c r="Y15" s="1"/>
      <c r="Z15" s="1"/>
      <c r="AA15" s="1"/>
      <c r="AB15" s="100" t="s">
        <v>215</v>
      </c>
      <c r="AC15" s="104" t="s">
        <v>303</v>
      </c>
      <c r="AD15" s="52"/>
      <c r="AE15" s="107"/>
      <c r="AF15" s="51">
        <f>N25+N28+N29</f>
        <v>0</v>
      </c>
      <c r="AG15" s="1"/>
      <c r="AH15" s="100" t="s">
        <v>216</v>
      </c>
      <c r="AI15" s="112" t="s">
        <v>303</v>
      </c>
      <c r="AJ15" s="110" t="s">
        <v>303</v>
      </c>
      <c r="AK15" s="254"/>
      <c r="AL15" s="1"/>
    </row>
    <row r="16" spans="1:38" x14ac:dyDescent="0.25">
      <c r="F16" s="78" t="s">
        <v>393</v>
      </c>
      <c r="G16" s="215">
        <v>100</v>
      </c>
      <c r="H16" s="216">
        <v>1</v>
      </c>
      <c r="I16" s="216">
        <v>1</v>
      </c>
      <c r="J16" s="225">
        <f>G16/H16</f>
        <v>100</v>
      </c>
      <c r="L16" s="84" t="s">
        <v>401</v>
      </c>
      <c r="M16" s="164" t="s">
        <v>403</v>
      </c>
      <c r="N16" s="220">
        <v>100</v>
      </c>
      <c r="O16" s="1"/>
      <c r="P16" s="84" t="s">
        <v>386</v>
      </c>
      <c r="Q16" s="85" t="s">
        <v>282</v>
      </c>
      <c r="R16" s="219">
        <f>Q5*(N15*J12)*data!G28/1000000</f>
        <v>3.5000000000000001E-3</v>
      </c>
      <c r="S16" s="1"/>
      <c r="T16" s="84" t="s">
        <v>219</v>
      </c>
      <c r="U16" s="85" t="s">
        <v>302</v>
      </c>
      <c r="V16" s="245">
        <f>R14*data!F22+R15*data!F23+R16*data!F24+R17*data!F25</f>
        <v>6.4920833333333334E-4</v>
      </c>
      <c r="W16" s="221"/>
      <c r="X16" s="1"/>
      <c r="Y16" s="1"/>
      <c r="Z16" s="1"/>
      <c r="AA16" s="1"/>
      <c r="AB16" s="100" t="s">
        <v>220</v>
      </c>
      <c r="AC16" s="104" t="s">
        <v>303</v>
      </c>
      <c r="AD16" s="52"/>
      <c r="AE16" s="107"/>
      <c r="AF16" s="51">
        <f>N26</f>
        <v>0</v>
      </c>
      <c r="AG16" s="1"/>
      <c r="AH16" s="1"/>
      <c r="AI16" s="1"/>
      <c r="AJ16" s="1"/>
      <c r="AK16" s="243"/>
      <c r="AL16" s="1"/>
    </row>
    <row r="17" spans="1:38" x14ac:dyDescent="0.25">
      <c r="F17" s="78" t="s">
        <v>205</v>
      </c>
      <c r="G17" s="170"/>
      <c r="H17" s="209"/>
      <c r="I17" s="209"/>
      <c r="J17" s="79"/>
      <c r="L17" s="84" t="s">
        <v>402</v>
      </c>
      <c r="M17" s="164" t="s">
        <v>403</v>
      </c>
      <c r="N17" s="220">
        <v>1000</v>
      </c>
      <c r="O17" s="1"/>
      <c r="P17" s="84" t="s">
        <v>218</v>
      </c>
      <c r="Q17" s="86" t="s">
        <v>282</v>
      </c>
      <c r="R17" s="219">
        <f>Q8*(N18*J15+N19*J16)*data!G26/1000000</f>
        <v>4.9500000000000004E-3</v>
      </c>
      <c r="S17" s="1"/>
      <c r="T17" s="84" t="s">
        <v>228</v>
      </c>
      <c r="U17" s="85" t="s">
        <v>302</v>
      </c>
      <c r="V17" s="246"/>
      <c r="W17" s="221"/>
      <c r="X17" s="1"/>
      <c r="Y17" s="1"/>
      <c r="Z17" s="1"/>
      <c r="AA17" s="1"/>
      <c r="AB17" s="100" t="s">
        <v>225</v>
      </c>
      <c r="AC17" s="104" t="s">
        <v>303</v>
      </c>
      <c r="AD17" s="52"/>
      <c r="AE17" s="107"/>
      <c r="AF17" s="51">
        <f>N28+J25+J29</f>
        <v>0</v>
      </c>
      <c r="AG17" s="1"/>
      <c r="AH17" s="1"/>
      <c r="AI17" s="1"/>
      <c r="AJ17" s="1"/>
      <c r="AK17" s="243"/>
      <c r="AL17" s="1"/>
    </row>
    <row r="18" spans="1:38" x14ac:dyDescent="0.25">
      <c r="F18" s="78" t="s">
        <v>221</v>
      </c>
      <c r="G18" s="170"/>
      <c r="H18" s="209"/>
      <c r="I18" s="209"/>
      <c r="J18" s="79"/>
      <c r="L18" s="84" t="s">
        <v>217</v>
      </c>
      <c r="M18" s="164" t="s">
        <v>406</v>
      </c>
      <c r="N18" s="220">
        <v>8</v>
      </c>
      <c r="O18" s="1"/>
      <c r="P18" s="84" t="s">
        <v>223</v>
      </c>
      <c r="Q18" s="86" t="s">
        <v>282</v>
      </c>
      <c r="R18" s="219">
        <f>(N16*J13+N17*J14)*3.6/1000000</f>
        <v>5.4000000000000003E-3</v>
      </c>
      <c r="S18" s="1"/>
      <c r="T18" s="84" t="s">
        <v>231</v>
      </c>
      <c r="U18" s="85" t="s">
        <v>302</v>
      </c>
      <c r="V18" s="245">
        <f>R14*data!C22+R15*data!C23+R16*data!C24+R17*data!C25</f>
        <v>2.7720875</v>
      </c>
      <c r="W18" s="221"/>
      <c r="X18" s="1"/>
      <c r="Y18" s="1"/>
      <c r="Z18" s="1"/>
      <c r="AA18" s="1"/>
      <c r="AB18" s="100" t="s">
        <v>229</v>
      </c>
      <c r="AC18" s="104" t="s">
        <v>303</v>
      </c>
      <c r="AD18" s="52"/>
      <c r="AE18" s="107"/>
      <c r="AF18" s="51">
        <f>J26+J27+J28+J29+J30</f>
        <v>0</v>
      </c>
      <c r="AG18" s="1"/>
      <c r="AH18" s="19" t="s">
        <v>102</v>
      </c>
      <c r="AI18" s="239" t="s">
        <v>315</v>
      </c>
      <c r="AJ18" s="240"/>
      <c r="AK18" s="253"/>
      <c r="AL18" s="1"/>
    </row>
    <row r="19" spans="1:38" x14ac:dyDescent="0.25">
      <c r="F19" s="78" t="s">
        <v>226</v>
      </c>
      <c r="G19" s="171"/>
      <c r="H19" s="210"/>
      <c r="I19" s="210"/>
      <c r="J19" s="80"/>
      <c r="L19" s="84" t="s">
        <v>222</v>
      </c>
      <c r="M19" s="164" t="s">
        <v>406</v>
      </c>
      <c r="N19" s="220">
        <v>3</v>
      </c>
      <c r="O19" s="1"/>
      <c r="P19" s="1"/>
      <c r="Q19" s="1"/>
      <c r="R19" s="1"/>
      <c r="S19" s="1"/>
      <c r="T19" s="84" t="s">
        <v>387</v>
      </c>
      <c r="U19" s="86" t="s">
        <v>302</v>
      </c>
      <c r="V19" s="245">
        <f>R14*data!D22+R15*data!D23+R16*data!D24+R17*data!D25</f>
        <v>8.7339285714285725E-5</v>
      </c>
      <c r="W19" s="221"/>
      <c r="X19" s="1"/>
      <c r="Y19" s="1"/>
      <c r="Z19" s="1"/>
      <c r="AA19" s="255" t="s">
        <v>416</v>
      </c>
      <c r="AB19" s="256" t="s">
        <v>232</v>
      </c>
      <c r="AC19" s="257" t="s">
        <v>303</v>
      </c>
      <c r="AD19" s="258" t="s">
        <v>308</v>
      </c>
      <c r="AE19" s="259"/>
      <c r="AF19" s="260">
        <f>N33+J26+J28+J29</f>
        <v>0</v>
      </c>
      <c r="AG19" s="1"/>
      <c r="AH19" s="100" t="s">
        <v>233</v>
      </c>
      <c r="AI19" s="111" t="s">
        <v>310</v>
      </c>
      <c r="AJ19" s="107"/>
      <c r="AK19" s="254">
        <f>AF10+AF12+AF13+AF19+AF20+AF20+AF22</f>
        <v>6768.5572984166665</v>
      </c>
      <c r="AL19" s="1"/>
    </row>
    <row r="20" spans="1:38" x14ac:dyDescent="0.25">
      <c r="L20" s="34" t="s">
        <v>227</v>
      </c>
      <c r="M20" s="165"/>
      <c r="N20" s="41"/>
      <c r="O20" s="1"/>
      <c r="P20" s="1"/>
      <c r="Q20" s="1"/>
      <c r="R20" s="1"/>
      <c r="S20" s="1"/>
      <c r="T20" s="1"/>
      <c r="U20" s="1"/>
      <c r="V20" s="247"/>
      <c r="W20" s="222"/>
      <c r="X20" s="1"/>
      <c r="Y20" s="1"/>
      <c r="Z20" s="1"/>
      <c r="AA20" s="255"/>
      <c r="AB20" s="100" t="s">
        <v>309</v>
      </c>
      <c r="AC20" s="104"/>
      <c r="AD20" s="105" t="s">
        <v>306</v>
      </c>
      <c r="AE20" s="107"/>
      <c r="AF20" s="229">
        <f>V16+V17+V22+V25+V30+V33</f>
        <v>3384.2786492083333</v>
      </c>
      <c r="AG20" s="1"/>
      <c r="AH20" s="100" t="s">
        <v>235</v>
      </c>
      <c r="AI20" s="111" t="s">
        <v>310</v>
      </c>
      <c r="AJ20" s="107"/>
      <c r="AK20" s="254">
        <f>AF10+AF12+AF14+AF20</f>
        <v>3384.2786492083333</v>
      </c>
      <c r="AL20" s="1"/>
    </row>
    <row r="21" spans="1:38" x14ac:dyDescent="0.25">
      <c r="F21" s="11" t="s">
        <v>145</v>
      </c>
      <c r="G21" s="11"/>
      <c r="H21" s="11"/>
      <c r="I21" s="11"/>
      <c r="J21" s="11"/>
      <c r="L21" s="34" t="s">
        <v>230</v>
      </c>
      <c r="M21" s="165"/>
      <c r="N21" s="41"/>
      <c r="O21" s="1"/>
      <c r="P21" s="1"/>
      <c r="Q21" s="1"/>
      <c r="R21" s="1"/>
      <c r="S21" s="1"/>
      <c r="T21" s="11" t="s">
        <v>112</v>
      </c>
      <c r="U21" s="95" t="s">
        <v>315</v>
      </c>
      <c r="V21" s="248"/>
      <c r="W21" s="223"/>
      <c r="X21" s="1"/>
      <c r="Y21" s="1"/>
      <c r="Z21" s="1"/>
      <c r="AA21" s="255"/>
      <c r="AB21" s="100" t="s">
        <v>237</v>
      </c>
      <c r="AC21" s="104"/>
      <c r="AD21" s="105" t="s">
        <v>306</v>
      </c>
      <c r="AE21" s="107"/>
      <c r="AF21" s="229">
        <f>V17+V25+V33</f>
        <v>2421.7269999999999</v>
      </c>
      <c r="AG21" s="1"/>
      <c r="AH21" s="100" t="s">
        <v>238</v>
      </c>
      <c r="AI21" s="111" t="s">
        <v>310</v>
      </c>
      <c r="AJ21" s="107"/>
      <c r="AK21" s="254">
        <f>AF10+AF12+AF15</f>
        <v>0</v>
      </c>
      <c r="AL21" s="1"/>
    </row>
    <row r="22" spans="1:38" x14ac:dyDescent="0.25">
      <c r="A22" s="11" t="s">
        <v>23</v>
      </c>
      <c r="B22" s="234" t="s">
        <v>315</v>
      </c>
      <c r="C22" s="235"/>
      <c r="D22" s="11"/>
      <c r="F22" s="13" t="s">
        <v>236</v>
      </c>
      <c r="G22" s="39"/>
      <c r="H22" s="39"/>
      <c r="I22" s="39"/>
      <c r="J22" s="39"/>
      <c r="L22" s="34" t="s">
        <v>234</v>
      </c>
      <c r="M22" s="165"/>
      <c r="N22" s="41"/>
      <c r="O22" s="1"/>
      <c r="P22" s="11" t="s">
        <v>173</v>
      </c>
      <c r="Q22" s="95" t="s">
        <v>315</v>
      </c>
      <c r="R22" s="11"/>
      <c r="S22" s="1"/>
      <c r="T22" s="87" t="s">
        <v>219</v>
      </c>
      <c r="U22" s="89" t="s">
        <v>302</v>
      </c>
      <c r="V22" s="249">
        <f>R23*data!F12+R24*data!F13+R25*data!F14+R26*data!F15</f>
        <v>900</v>
      </c>
      <c r="W22" s="221"/>
      <c r="X22" s="1"/>
      <c r="Y22" s="1"/>
      <c r="Z22" s="1"/>
      <c r="AA22" s="255" t="s">
        <v>416</v>
      </c>
      <c r="AB22" s="100" t="s">
        <v>240</v>
      </c>
      <c r="AC22" s="108" t="s">
        <v>303</v>
      </c>
      <c r="AD22" s="109"/>
      <c r="AE22" s="110"/>
      <c r="AF22" s="51">
        <f>N33</f>
        <v>0</v>
      </c>
      <c r="AG22" s="1"/>
      <c r="AH22" s="100" t="s">
        <v>241</v>
      </c>
      <c r="AI22" s="112" t="s">
        <v>310</v>
      </c>
      <c r="AJ22" s="110"/>
      <c r="AK22" s="254">
        <f>AF10+AF12+AF13+AF15</f>
        <v>0</v>
      </c>
      <c r="AL22" s="1"/>
    </row>
    <row r="23" spans="1:38" x14ac:dyDescent="0.25">
      <c r="A23" s="69" t="s">
        <v>27</v>
      </c>
      <c r="B23" s="71" t="s">
        <v>280</v>
      </c>
      <c r="C23" s="72" t="s">
        <v>313</v>
      </c>
      <c r="D23" s="39"/>
      <c r="E23" s="3"/>
      <c r="F23" s="13" t="s">
        <v>239</v>
      </c>
      <c r="G23" s="39"/>
      <c r="H23" s="39"/>
      <c r="I23" s="39"/>
      <c r="J23" s="39"/>
      <c r="L23" s="1"/>
      <c r="M23" s="166"/>
      <c r="N23" s="1"/>
      <c r="O23" s="1"/>
      <c r="P23" s="87" t="s">
        <v>247</v>
      </c>
      <c r="Q23" s="89" t="s">
        <v>282</v>
      </c>
      <c r="R23" s="226">
        <v>100</v>
      </c>
      <c r="S23" s="1"/>
      <c r="T23" s="87" t="s">
        <v>245</v>
      </c>
      <c r="U23" s="89" t="s">
        <v>302</v>
      </c>
      <c r="V23" s="249">
        <f>R23*data!G12*data!C41+R24*data!G13*data!C43+R25*data!G14+R26*data!G15</f>
        <v>0</v>
      </c>
      <c r="W23" s="22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43"/>
      <c r="AL23" s="1"/>
    </row>
    <row r="24" spans="1:38" x14ac:dyDescent="0.25">
      <c r="A24" s="69" t="s">
        <v>28</v>
      </c>
      <c r="B24" s="71" t="s">
        <v>281</v>
      </c>
      <c r="C24" s="72" t="s">
        <v>313</v>
      </c>
      <c r="D24" s="39"/>
      <c r="F24" s="13" t="s">
        <v>242</v>
      </c>
      <c r="G24" s="39"/>
      <c r="H24" s="39"/>
      <c r="I24" s="39"/>
      <c r="J24" s="39"/>
      <c r="L24" s="11" t="s">
        <v>86</v>
      </c>
      <c r="M24" s="88" t="s">
        <v>315</v>
      </c>
      <c r="N24" s="11"/>
      <c r="O24" s="1"/>
      <c r="P24" s="87" t="s">
        <v>244</v>
      </c>
      <c r="Q24" s="89" t="s">
        <v>282</v>
      </c>
      <c r="R24" s="226">
        <v>100</v>
      </c>
      <c r="S24" s="1"/>
      <c r="T24" s="87" t="s">
        <v>224</v>
      </c>
      <c r="U24" s="89" t="s">
        <v>302</v>
      </c>
      <c r="V24" s="249">
        <f>R23*data!H12+R24*data!H13+R25*data!H14+R26*data!H15</f>
        <v>86</v>
      </c>
      <c r="W24" s="22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43"/>
      <c r="AL24" s="1"/>
    </row>
    <row r="25" spans="1:38" ht="18" x14ac:dyDescent="0.35">
      <c r="A25" s="69" t="s">
        <v>29</v>
      </c>
      <c r="B25" s="71" t="s">
        <v>280</v>
      </c>
      <c r="C25" s="72" t="s">
        <v>313</v>
      </c>
      <c r="D25" s="39"/>
      <c r="F25" s="13" t="s">
        <v>246</v>
      </c>
      <c r="G25" s="39"/>
      <c r="H25" s="39"/>
      <c r="I25" s="39"/>
      <c r="J25" s="39"/>
      <c r="L25" s="87" t="s">
        <v>243</v>
      </c>
      <c r="M25" s="167" t="s">
        <v>296</v>
      </c>
      <c r="N25" s="42"/>
      <c r="O25" s="1"/>
      <c r="P25" s="87" t="s">
        <v>257</v>
      </c>
      <c r="Q25" s="89" t="s">
        <v>282</v>
      </c>
      <c r="R25" s="226">
        <v>100</v>
      </c>
      <c r="S25" s="1"/>
      <c r="T25" s="87" t="s">
        <v>228</v>
      </c>
      <c r="U25" s="89" t="s">
        <v>302</v>
      </c>
      <c r="V25" s="249">
        <f>R23*data!E12+R24*data!E13+R25*data!E14+R26*data!E15</f>
        <v>2421</v>
      </c>
      <c r="W25" s="22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7" t="s">
        <v>167</v>
      </c>
      <c r="AI25" s="114" t="s">
        <v>315</v>
      </c>
      <c r="AJ25" s="113"/>
      <c r="AK25" s="243"/>
      <c r="AL25" s="1"/>
    </row>
    <row r="26" spans="1:38" x14ac:dyDescent="0.25">
      <c r="A26" s="70" t="s">
        <v>30</v>
      </c>
      <c r="B26" s="71" t="s">
        <v>280</v>
      </c>
      <c r="C26" s="72" t="s">
        <v>313</v>
      </c>
      <c r="D26" s="39"/>
      <c r="F26" s="13" t="s">
        <v>248</v>
      </c>
      <c r="G26" s="39"/>
      <c r="H26" s="39"/>
      <c r="I26" s="39"/>
      <c r="J26" s="39"/>
      <c r="L26" s="87" t="s">
        <v>220</v>
      </c>
      <c r="M26" s="167" t="s">
        <v>297</v>
      </c>
      <c r="N26" s="42"/>
      <c r="O26" s="1"/>
      <c r="P26" s="87" t="s">
        <v>250</v>
      </c>
      <c r="Q26" s="89" t="s">
        <v>282</v>
      </c>
      <c r="R26" s="226">
        <v>100</v>
      </c>
      <c r="S26" s="1"/>
      <c r="T26" s="87" t="s">
        <v>231</v>
      </c>
      <c r="U26" s="89" t="s">
        <v>302</v>
      </c>
      <c r="V26" s="249">
        <f>R23*data!C12+R24*data!C13+R25*data!C14+R26*data!C15</f>
        <v>38800</v>
      </c>
      <c r="W26" s="22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84" t="s">
        <v>254</v>
      </c>
      <c r="AI26" s="115" t="s">
        <v>302</v>
      </c>
      <c r="AJ26" s="227">
        <f>V19+U44*V18</f>
        <v>199.59038733928574</v>
      </c>
      <c r="AK26" s="243"/>
      <c r="AL26" s="1"/>
    </row>
    <row r="27" spans="1:38" x14ac:dyDescent="0.25">
      <c r="A27" s="69" t="s">
        <v>31</v>
      </c>
      <c r="B27" s="71" t="s">
        <v>280</v>
      </c>
      <c r="C27" s="72" t="s">
        <v>313</v>
      </c>
      <c r="D27" s="39"/>
      <c r="F27" s="13" t="s">
        <v>251</v>
      </c>
      <c r="G27" s="39"/>
      <c r="H27" s="39"/>
      <c r="I27" s="39"/>
      <c r="J27" s="39"/>
      <c r="L27" s="87" t="s">
        <v>249</v>
      </c>
      <c r="M27" s="167"/>
      <c r="N27" s="42"/>
      <c r="O27" s="1"/>
      <c r="P27" s="87" t="s">
        <v>253</v>
      </c>
      <c r="Q27" s="90" t="s">
        <v>282</v>
      </c>
      <c r="R27" s="226">
        <v>100</v>
      </c>
      <c r="S27" s="1"/>
      <c r="T27" s="87" t="s">
        <v>258</v>
      </c>
      <c r="U27" s="90" t="s">
        <v>302</v>
      </c>
      <c r="V27" s="249">
        <f>R23*data!D12+R24*data!D13+R25*data!D14+R26*data!D15</f>
        <v>56.876190476190473</v>
      </c>
      <c r="W27" s="22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87" t="s">
        <v>259</v>
      </c>
      <c r="AI27" s="116" t="s">
        <v>302</v>
      </c>
      <c r="AJ27" s="228">
        <f>V26+U44*V25+U45*V27</f>
        <v>213112</v>
      </c>
      <c r="AK27" s="243"/>
      <c r="AL27" s="1"/>
    </row>
    <row r="28" spans="1:38" x14ac:dyDescent="0.25">
      <c r="A28" s="69" t="s">
        <v>32</v>
      </c>
      <c r="B28" s="71" t="s">
        <v>280</v>
      </c>
      <c r="C28" s="72" t="s">
        <v>313</v>
      </c>
      <c r="D28" s="39"/>
      <c r="F28" s="13" t="s">
        <v>255</v>
      </c>
      <c r="G28" s="39"/>
      <c r="H28" s="39"/>
      <c r="I28" s="39"/>
      <c r="J28" s="39"/>
      <c r="L28" s="87" t="s">
        <v>252</v>
      </c>
      <c r="M28" s="168" t="s">
        <v>298</v>
      </c>
      <c r="N28" s="40"/>
      <c r="O28" s="1"/>
      <c r="P28" s="1"/>
      <c r="Q28" s="1"/>
      <c r="R28" s="1"/>
      <c r="S28" s="1"/>
      <c r="T28" s="1"/>
      <c r="U28" s="1"/>
      <c r="V28" s="247"/>
      <c r="W28" s="22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1" t="s">
        <v>262</v>
      </c>
      <c r="AI28" s="117" t="s">
        <v>302</v>
      </c>
      <c r="AJ28" s="228">
        <f>V34+U44*V33+U45*V35</f>
        <v>169982.34400000001</v>
      </c>
      <c r="AK28" s="243"/>
      <c r="AL28" s="1"/>
    </row>
    <row r="29" spans="1:38" x14ac:dyDescent="0.25">
      <c r="A29" s="69" t="s">
        <v>33</v>
      </c>
      <c r="B29" s="73" t="s">
        <v>280</v>
      </c>
      <c r="C29" s="74" t="s">
        <v>313</v>
      </c>
      <c r="D29" s="39"/>
      <c r="F29" s="13" t="s">
        <v>260</v>
      </c>
      <c r="G29" s="39"/>
      <c r="H29" s="39"/>
      <c r="I29" s="39"/>
      <c r="J29" s="39"/>
      <c r="L29" s="87" t="s">
        <v>256</v>
      </c>
      <c r="M29" s="167" t="s">
        <v>299</v>
      </c>
      <c r="N29" s="42"/>
      <c r="O29" s="1"/>
      <c r="P29" s="1"/>
      <c r="Q29" s="1"/>
      <c r="R29" s="1"/>
      <c r="S29" s="1"/>
      <c r="T29" s="28" t="s">
        <v>139</v>
      </c>
      <c r="U29" s="96" t="s">
        <v>315</v>
      </c>
      <c r="V29" s="250"/>
      <c r="W29" s="2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43"/>
      <c r="AL29" s="1"/>
    </row>
    <row r="30" spans="1:38" x14ac:dyDescent="0.25">
      <c r="F30" s="13" t="s">
        <v>263</v>
      </c>
      <c r="G30" s="39"/>
      <c r="H30" s="39"/>
      <c r="I30" s="39"/>
      <c r="J30" s="39"/>
      <c r="L30" s="87" t="s">
        <v>261</v>
      </c>
      <c r="M30" s="167" t="s">
        <v>300</v>
      </c>
      <c r="N30" s="42"/>
      <c r="O30" s="1"/>
      <c r="P30" s="1"/>
      <c r="Q30" s="1"/>
      <c r="R30" s="1"/>
      <c r="S30" s="1"/>
      <c r="T30" s="91" t="s">
        <v>219</v>
      </c>
      <c r="U30" s="92" t="s">
        <v>302</v>
      </c>
      <c r="V30" s="251">
        <f>J40*data!G36*data!F2+J41*data!G37*data!F2+J42*data!G38*data!F2+J43*data!G36*data!F3+J44*data!G37*data!F3+J45*data!G38*data!F3+J46*data!G36*data!F4+J47*data!G37*data!F4+J48*data!G38*data!F4+J49*data!G36*data!F5+J50*data!G37*data!F5+J51*data!G38*data!F5+J52*data!G36*data!F6+J53*data!G37*data!F6+J54*data!G38*data!F6</f>
        <v>62.551000000000045</v>
      </c>
      <c r="W30" s="221"/>
      <c r="X30" s="1"/>
      <c r="Y30" s="288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43"/>
      <c r="AL30" s="1"/>
    </row>
    <row r="31" spans="1:38" x14ac:dyDescent="0.25">
      <c r="F31" s="13" t="s">
        <v>265</v>
      </c>
      <c r="G31" s="39"/>
      <c r="H31" s="39"/>
      <c r="I31" s="39"/>
      <c r="J31" s="39"/>
      <c r="L31" s="87" t="s">
        <v>264</v>
      </c>
      <c r="M31" s="167" t="s">
        <v>301</v>
      </c>
      <c r="N31" s="42"/>
      <c r="O31" s="1"/>
      <c r="P31" s="1"/>
      <c r="Q31" s="1"/>
      <c r="R31" s="1"/>
      <c r="S31" s="1"/>
      <c r="T31" s="91" t="s">
        <v>245</v>
      </c>
      <c r="U31" s="92" t="s">
        <v>302</v>
      </c>
      <c r="V31" s="251">
        <f>J40*data!G39*data!C36*data!G2+J41*data!G40*data!C36*data!F3+J42*data!G38*data!C36*data!F3+J43*data!G39*data!C37*data!F3+J44*data!G40*data!C37*data!F4+J45*data!G41*data!C37*data!F4</f>
        <v>24.004999999999995</v>
      </c>
      <c r="W31" s="22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43" t="s">
        <v>174</v>
      </c>
      <c r="AI31" s="1"/>
      <c r="AJ31" s="1"/>
      <c r="AK31" s="243"/>
      <c r="AL31" s="1"/>
    </row>
    <row r="32" spans="1:38" x14ac:dyDescent="0.25">
      <c r="F32" s="13" t="s">
        <v>267</v>
      </c>
      <c r="G32" s="39"/>
      <c r="H32" s="39"/>
      <c r="I32" s="39"/>
      <c r="J32" s="39"/>
      <c r="L32" s="87" t="s">
        <v>414</v>
      </c>
      <c r="M32" s="167" t="s">
        <v>307</v>
      </c>
      <c r="N32" s="42"/>
      <c r="O32" s="1"/>
      <c r="P32" s="28" t="s">
        <v>172</v>
      </c>
      <c r="Q32" s="96" t="s">
        <v>315</v>
      </c>
      <c r="R32" s="28"/>
      <c r="S32" s="1"/>
      <c r="T32" s="91" t="s">
        <v>224</v>
      </c>
      <c r="U32" s="92" t="s">
        <v>302</v>
      </c>
      <c r="V32" s="251">
        <f>J40*data!G42*data!H2+J41*data!G39*data!G43*data!H2+J42*data!H2+J43*data!G42*data!H3+J44*data!G43*data!H3+J45*data!H3+J46*data!G42*data!H4+J47*data!G43*data!H4+J48*data!H4+J49*data!G42*data!H5+J50*data!G43*data!H5+J51*data!H5+J52*data!G42*data!H6+J53*data!G43*data!H6+J54*data!H6</f>
        <v>177.99999999999997</v>
      </c>
      <c r="W32" s="22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4" t="s">
        <v>175</v>
      </c>
      <c r="AI32" s="1"/>
      <c r="AJ32" s="1"/>
      <c r="AK32" s="243"/>
      <c r="AL32" s="1"/>
    </row>
    <row r="33" spans="6:38" x14ac:dyDescent="0.25">
      <c r="L33" s="87" t="s">
        <v>266</v>
      </c>
      <c r="M33" s="169"/>
      <c r="N33" s="42"/>
      <c r="P33" s="91" t="s">
        <v>268</v>
      </c>
      <c r="Q33" s="92" t="s">
        <v>282</v>
      </c>
      <c r="R33" s="217">
        <v>1</v>
      </c>
      <c r="S33" s="1"/>
      <c r="T33" s="91" t="s">
        <v>228</v>
      </c>
      <c r="U33" s="92" t="s">
        <v>302</v>
      </c>
      <c r="V33" s="251">
        <f>J40*data!G36*data!E2+J41*data!G37*data!E2+J42*data!G38*data!E2+J43*data!G36*data!E3+J44*data!G37*data!E3+J45*data!G38*data!E3+J46*data!G36*data!E4+J47*data!G37*data!E4+J48*data!G38*data!E4+J49*data!G36*data!E5+J50*data!G37*data!E5+J51*data!G38*data!E5+J52*data!G36*data!E6+J53*data!G37*data!E6+J54*data!G38*data!E6</f>
        <v>0.72700000000000065</v>
      </c>
      <c r="W33" s="22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5" t="s">
        <v>176</v>
      </c>
      <c r="AI33" s="1"/>
      <c r="AJ33" s="1"/>
      <c r="AK33" s="243"/>
      <c r="AL33" s="1"/>
    </row>
    <row r="34" spans="6:38" x14ac:dyDescent="0.25">
      <c r="F34" s="28" t="s">
        <v>124</v>
      </c>
      <c r="G34" s="202" t="s">
        <v>315</v>
      </c>
      <c r="H34" s="241"/>
      <c r="I34" s="242"/>
      <c r="J34" s="28"/>
      <c r="L34" s="1"/>
      <c r="M34" s="166"/>
      <c r="N34" s="1"/>
      <c r="P34" s="91" t="s">
        <v>271</v>
      </c>
      <c r="Q34" s="93" t="s">
        <v>282</v>
      </c>
      <c r="R34" s="218">
        <f>(1-M39)*N37</f>
        <v>802.40000000000009</v>
      </c>
      <c r="S34" s="1"/>
      <c r="T34" s="91" t="s">
        <v>231</v>
      </c>
      <c r="U34" s="92" t="s">
        <v>302</v>
      </c>
      <c r="V34" s="251">
        <f>J40*data!C2+J41*data!C2+J42*data!C2+J43*data!C3+J44*data!C3+J45*data!C3+J46*data!C4+J47*data!C4+J48*data!C4+J49*data!C5+J50*data!C5+J51*data!C5+J52*data!C6+J53*data!C6+J54*data!C6</f>
        <v>169930</v>
      </c>
      <c r="W34" s="22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6" t="s">
        <v>177</v>
      </c>
      <c r="AI34" s="1"/>
      <c r="AJ34" s="1"/>
      <c r="AK34" s="243"/>
      <c r="AL34" s="1"/>
    </row>
    <row r="35" spans="6:38" x14ac:dyDescent="0.25">
      <c r="F35" s="75" t="s">
        <v>127</v>
      </c>
      <c r="G35" s="76" t="s">
        <v>388</v>
      </c>
      <c r="H35" s="237" t="s">
        <v>269</v>
      </c>
      <c r="I35" s="238"/>
      <c r="J35" s="217">
        <v>1000</v>
      </c>
      <c r="L35" s="28" t="s">
        <v>90</v>
      </c>
      <c r="M35" s="207" t="s">
        <v>315</v>
      </c>
      <c r="N35" s="28"/>
      <c r="P35" s="1"/>
      <c r="Q35" s="1"/>
      <c r="R35" s="1"/>
      <c r="S35" s="1"/>
      <c r="T35" s="91" t="s">
        <v>258</v>
      </c>
      <c r="U35" s="93" t="s">
        <v>302</v>
      </c>
      <c r="V35" s="251">
        <f>J40*data!D2+J41*data!D2+J42*data!D2+J43*data!D3+J44*data!D3+J45*data!D3+J46*data!D4+J47*data!D4+J48*data!D4+J49*data!D5+J50*data!D5+J51*data!D5+J52*data!D6+J53*data!D6+J54*data!D6</f>
        <v>10.258571428571429</v>
      </c>
      <c r="W35" s="22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47" t="s">
        <v>178</v>
      </c>
      <c r="AI35" s="1"/>
      <c r="AJ35" s="1"/>
      <c r="AK35" s="243"/>
      <c r="AL35" s="1"/>
    </row>
    <row r="36" spans="6:38" x14ac:dyDescent="0.25">
      <c r="F36" s="75" t="s">
        <v>127</v>
      </c>
      <c r="G36" s="76" t="s">
        <v>388</v>
      </c>
      <c r="H36" s="237" t="s">
        <v>412</v>
      </c>
      <c r="I36" s="238"/>
      <c r="J36" s="217">
        <v>0</v>
      </c>
      <c r="L36" s="91" t="s">
        <v>270</v>
      </c>
      <c r="M36" s="203" t="s">
        <v>282</v>
      </c>
      <c r="N36" s="218">
        <f>J35*data!C48+J36*data!D48+J38+J39+J40*data!C51+J41*data!D51+J43*data!C52+J44*data!D52+J46*data!C53+J47*data!D53+J49*data!C54+J50*data!D54+J52*data!C55+J53*data!D55</f>
        <v>976</v>
      </c>
      <c r="O36" s="48"/>
      <c r="P36" s="1"/>
      <c r="Q36" s="1"/>
      <c r="R36" s="1"/>
      <c r="S36" s="1"/>
      <c r="T36" s="1"/>
      <c r="U36" s="1"/>
      <c r="V36" s="24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43"/>
      <c r="AL36" s="1"/>
    </row>
    <row r="37" spans="6:38" x14ac:dyDescent="0.25">
      <c r="F37" s="75" t="s">
        <v>127</v>
      </c>
      <c r="G37" s="76" t="s">
        <v>388</v>
      </c>
      <c r="H37" s="237" t="s">
        <v>413</v>
      </c>
      <c r="I37" s="238"/>
      <c r="J37" s="217">
        <v>0</v>
      </c>
      <c r="L37" s="91" t="s">
        <v>272</v>
      </c>
      <c r="M37" s="204" t="s">
        <v>282</v>
      </c>
      <c r="N37" s="218">
        <f>J36*data!E48+J37*data!F48+J41*data!E51+J42*data!F51+J44*data!E52+J45*data!F52+J47*data!E53+J48*data!F53+J50*data!E54+J51*data!F54+J53*data!E55+J54*data!F55</f>
        <v>1003</v>
      </c>
      <c r="O37" s="48"/>
      <c r="P37" s="1"/>
      <c r="Q37" s="1"/>
      <c r="R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43"/>
    </row>
    <row r="38" spans="6:38" x14ac:dyDescent="0.25">
      <c r="F38" s="75" t="s">
        <v>128</v>
      </c>
      <c r="G38" s="76" t="s">
        <v>282</v>
      </c>
      <c r="H38" s="237" t="s">
        <v>269</v>
      </c>
      <c r="I38" s="238"/>
      <c r="J38" s="217">
        <v>100</v>
      </c>
      <c r="L38" s="48"/>
      <c r="M38" s="127"/>
      <c r="N38" s="48"/>
      <c r="O38" s="48"/>
      <c r="P38" s="1"/>
      <c r="Q38" s="1"/>
      <c r="R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43"/>
    </row>
    <row r="39" spans="6:38" x14ac:dyDescent="0.25">
      <c r="F39" s="75" t="s">
        <v>129</v>
      </c>
      <c r="G39" s="76" t="s">
        <v>282</v>
      </c>
      <c r="H39" s="237" t="s">
        <v>269</v>
      </c>
      <c r="I39" s="238"/>
      <c r="J39" s="217">
        <v>1</v>
      </c>
      <c r="L39" s="48" t="s">
        <v>404</v>
      </c>
      <c r="M39" s="127">
        <v>0.2</v>
      </c>
      <c r="N39" s="48"/>
      <c r="P39" s="1"/>
      <c r="Q39" s="1"/>
      <c r="R39" s="1"/>
      <c r="S39" s="1"/>
      <c r="T39" s="1"/>
      <c r="U39" s="1"/>
      <c r="V39" s="24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43"/>
    </row>
    <row r="40" spans="6:38" x14ac:dyDescent="0.25">
      <c r="F40" s="75" t="s">
        <v>125</v>
      </c>
      <c r="G40" s="76" t="s">
        <v>388</v>
      </c>
      <c r="H40" s="237" t="s">
        <v>269</v>
      </c>
      <c r="I40" s="238"/>
      <c r="J40" s="217">
        <v>100</v>
      </c>
      <c r="L40" s="48"/>
      <c r="M40" s="127"/>
      <c r="N40" s="48"/>
      <c r="P40" s="1"/>
      <c r="Q40" s="1"/>
      <c r="R40" s="1"/>
      <c r="S40" s="48"/>
      <c r="T40" s="1"/>
      <c r="U40" s="1"/>
      <c r="V40" s="24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43"/>
    </row>
    <row r="41" spans="6:38" x14ac:dyDescent="0.25">
      <c r="F41" s="75" t="s">
        <v>125</v>
      </c>
      <c r="G41" s="76" t="s">
        <v>388</v>
      </c>
      <c r="H41" s="237" t="s">
        <v>412</v>
      </c>
      <c r="I41" s="238"/>
      <c r="J41" s="217">
        <v>1000</v>
      </c>
      <c r="P41" s="1"/>
      <c r="Q41" s="1"/>
      <c r="R41" s="1"/>
      <c r="S41" s="1"/>
      <c r="T41" s="1"/>
      <c r="U41" s="1"/>
      <c r="V41" s="24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43"/>
    </row>
    <row r="42" spans="6:38" x14ac:dyDescent="0.25">
      <c r="F42" s="75" t="s">
        <v>125</v>
      </c>
      <c r="G42" s="76" t="s">
        <v>388</v>
      </c>
      <c r="H42" s="237" t="s">
        <v>413</v>
      </c>
      <c r="I42" s="238"/>
      <c r="J42" s="217">
        <v>10</v>
      </c>
      <c r="P42" s="1"/>
      <c r="Q42" s="1"/>
      <c r="R42" s="1"/>
      <c r="S42" s="1"/>
      <c r="T42" s="1"/>
      <c r="U42" s="1"/>
      <c r="V42" s="243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43"/>
      <c r="AL42" s="1"/>
    </row>
    <row r="43" spans="6:38" x14ac:dyDescent="0.25">
      <c r="F43" s="75" t="s">
        <v>136</v>
      </c>
      <c r="G43" s="76" t="s">
        <v>388</v>
      </c>
      <c r="H43" s="237" t="s">
        <v>269</v>
      </c>
      <c r="I43" s="238"/>
      <c r="J43" s="217">
        <v>0</v>
      </c>
      <c r="P43" s="1"/>
      <c r="Q43" s="1"/>
      <c r="R43" s="1"/>
      <c r="S43" s="1"/>
      <c r="T43" s="1" t="s">
        <v>415</v>
      </c>
      <c r="U43" s="1"/>
      <c r="V43" s="243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43"/>
      <c r="AL43" s="1"/>
    </row>
    <row r="44" spans="6:38" x14ac:dyDescent="0.25">
      <c r="F44" s="75" t="s">
        <v>136</v>
      </c>
      <c r="G44" s="76" t="s">
        <v>388</v>
      </c>
      <c r="H44" s="237" t="s">
        <v>412</v>
      </c>
      <c r="I44" s="238"/>
      <c r="J44" s="217">
        <v>10</v>
      </c>
      <c r="P44" s="1"/>
      <c r="Q44" s="1"/>
      <c r="R44" s="1"/>
      <c r="S44" s="1"/>
      <c r="T44" s="150" t="s">
        <v>316</v>
      </c>
      <c r="U44" s="154">
        <v>72</v>
      </c>
      <c r="V44" s="182" t="s">
        <v>385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43"/>
      <c r="AL44" s="1"/>
    </row>
    <row r="45" spans="6:38" x14ac:dyDescent="0.25">
      <c r="F45" s="75" t="s">
        <v>136</v>
      </c>
      <c r="G45" s="76" t="s">
        <v>388</v>
      </c>
      <c r="H45" s="237" t="s">
        <v>413</v>
      </c>
      <c r="I45" s="238"/>
      <c r="J45" s="217">
        <v>100</v>
      </c>
      <c r="T45" s="152" t="s">
        <v>317</v>
      </c>
      <c r="U45" s="151">
        <v>0</v>
      </c>
    </row>
    <row r="46" spans="6:38" x14ac:dyDescent="0.25">
      <c r="F46" s="75" t="s">
        <v>126</v>
      </c>
      <c r="G46" s="76" t="s">
        <v>388</v>
      </c>
      <c r="H46" s="237" t="s">
        <v>269</v>
      </c>
      <c r="I46" s="238"/>
      <c r="J46" s="217">
        <v>0</v>
      </c>
      <c r="T46" s="153" t="s">
        <v>356</v>
      </c>
      <c r="U46" s="126">
        <v>310</v>
      </c>
    </row>
    <row r="47" spans="6:38" x14ac:dyDescent="0.25">
      <c r="F47" s="75" t="s">
        <v>126</v>
      </c>
      <c r="G47" s="76" t="s">
        <v>388</v>
      </c>
      <c r="H47" s="237" t="s">
        <v>412</v>
      </c>
      <c r="I47" s="238"/>
      <c r="J47" s="217">
        <v>100</v>
      </c>
    </row>
    <row r="48" spans="6:38" x14ac:dyDescent="0.25">
      <c r="F48" s="75" t="s">
        <v>126</v>
      </c>
      <c r="G48" s="76" t="s">
        <v>388</v>
      </c>
      <c r="H48" s="237" t="s">
        <v>413</v>
      </c>
      <c r="I48" s="238"/>
      <c r="J48" s="217">
        <v>100</v>
      </c>
      <c r="O48" s="3"/>
    </row>
    <row r="49" spans="6:15" x14ac:dyDescent="0.25">
      <c r="F49" s="75" t="s">
        <v>131</v>
      </c>
      <c r="G49" s="76" t="s">
        <v>388</v>
      </c>
      <c r="H49" s="237" t="s">
        <v>269</v>
      </c>
      <c r="I49" s="238"/>
      <c r="J49" s="217">
        <v>0</v>
      </c>
    </row>
    <row r="50" spans="6:15" x14ac:dyDescent="0.25">
      <c r="F50" s="75" t="s">
        <v>131</v>
      </c>
      <c r="G50" s="76" t="s">
        <v>388</v>
      </c>
      <c r="H50" s="237" t="s">
        <v>412</v>
      </c>
      <c r="I50" s="238"/>
      <c r="J50" s="217">
        <v>100</v>
      </c>
      <c r="N50" s="3"/>
    </row>
    <row r="51" spans="6:15" x14ac:dyDescent="0.25">
      <c r="F51" s="75" t="s">
        <v>131</v>
      </c>
      <c r="G51" s="76" t="s">
        <v>388</v>
      </c>
      <c r="H51" s="237" t="s">
        <v>413</v>
      </c>
      <c r="I51" s="238"/>
      <c r="J51" s="217">
        <v>100</v>
      </c>
    </row>
    <row r="52" spans="6:15" x14ac:dyDescent="0.25">
      <c r="F52" s="75" t="s">
        <v>325</v>
      </c>
      <c r="G52" s="76" t="s">
        <v>388</v>
      </c>
      <c r="H52" s="237" t="s">
        <v>269</v>
      </c>
      <c r="I52" s="238"/>
      <c r="J52" s="217">
        <v>0</v>
      </c>
    </row>
    <row r="53" spans="6:15" x14ac:dyDescent="0.25">
      <c r="F53" s="75" t="s">
        <v>325</v>
      </c>
      <c r="G53" s="76" t="s">
        <v>388</v>
      </c>
      <c r="H53" s="237" t="s">
        <v>412</v>
      </c>
      <c r="I53" s="238"/>
      <c r="J53" s="217">
        <v>100</v>
      </c>
    </row>
    <row r="54" spans="6:15" x14ac:dyDescent="0.25">
      <c r="F54" s="75" t="s">
        <v>325</v>
      </c>
      <c r="G54" s="77" t="s">
        <v>388</v>
      </c>
      <c r="H54" s="237" t="s">
        <v>413</v>
      </c>
      <c r="I54" s="238"/>
      <c r="J54" s="217">
        <v>10</v>
      </c>
    </row>
    <row r="56" spans="6:15" x14ac:dyDescent="0.25">
      <c r="F56" s="6" t="s">
        <v>25</v>
      </c>
      <c r="G56" s="6"/>
      <c r="H56" s="6"/>
      <c r="O56" s="184"/>
    </row>
    <row r="57" spans="6:15" x14ac:dyDescent="0.25">
      <c r="F57" s="7" t="s">
        <v>35</v>
      </c>
      <c r="G57" s="7"/>
      <c r="H57" s="7"/>
      <c r="O57" s="183"/>
    </row>
    <row r="58" spans="6:15" x14ac:dyDescent="0.25">
      <c r="F58" s="7" t="s">
        <v>36</v>
      </c>
      <c r="G58" s="7"/>
      <c r="H58" s="7"/>
      <c r="O58" s="183"/>
    </row>
    <row r="59" spans="6:15" x14ac:dyDescent="0.25">
      <c r="F59" s="7" t="s">
        <v>96</v>
      </c>
      <c r="G59" s="7"/>
      <c r="H59" s="7"/>
      <c r="O59" s="183"/>
    </row>
    <row r="60" spans="6:15" x14ac:dyDescent="0.25">
      <c r="F60" s="7" t="s">
        <v>37</v>
      </c>
      <c r="G60" s="7"/>
      <c r="H60" s="7"/>
      <c r="O60" s="183"/>
    </row>
    <row r="61" spans="6:15" x14ac:dyDescent="0.25">
      <c r="F61" s="7" t="s">
        <v>38</v>
      </c>
      <c r="G61" s="7"/>
      <c r="H61" s="7"/>
      <c r="O61" s="183"/>
    </row>
    <row r="62" spans="6:15" x14ac:dyDescent="0.25">
      <c r="F62" s="7" t="s">
        <v>39</v>
      </c>
      <c r="G62" s="7"/>
      <c r="H62" s="7"/>
      <c r="O62" s="183"/>
    </row>
    <row r="63" spans="6:15" x14ac:dyDescent="0.25">
      <c r="F63" s="7" t="s">
        <v>40</v>
      </c>
      <c r="G63" s="7"/>
      <c r="H63" s="7"/>
      <c r="O63" s="183"/>
    </row>
    <row r="64" spans="6:15" x14ac:dyDescent="0.25">
      <c r="F64" s="7" t="s">
        <v>41</v>
      </c>
      <c r="G64" s="7"/>
      <c r="H64" s="7"/>
      <c r="O64" s="183"/>
    </row>
    <row r="65" spans="6:15" x14ac:dyDescent="0.25">
      <c r="F65" s="7" t="s">
        <v>42</v>
      </c>
      <c r="G65" s="7"/>
      <c r="H65" s="7"/>
    </row>
    <row r="66" spans="6:15" x14ac:dyDescent="0.25">
      <c r="F66" s="7" t="s">
        <v>43</v>
      </c>
      <c r="G66" s="7"/>
      <c r="H66" s="7"/>
    </row>
    <row r="67" spans="6:15" x14ac:dyDescent="0.25">
      <c r="F67" s="7" t="s">
        <v>44</v>
      </c>
      <c r="G67" s="7"/>
      <c r="H67" s="7"/>
      <c r="O67" s="191"/>
    </row>
    <row r="68" spans="6:15" x14ac:dyDescent="0.25">
      <c r="F68" s="7" t="s">
        <v>45</v>
      </c>
      <c r="G68" s="7"/>
      <c r="H68" s="7"/>
      <c r="O68" s="191"/>
    </row>
    <row r="69" spans="6:15" x14ac:dyDescent="0.25">
      <c r="O69" s="191"/>
    </row>
    <row r="70" spans="6:15" x14ac:dyDescent="0.25">
      <c r="O70" s="191"/>
    </row>
    <row r="71" spans="6:15" x14ac:dyDescent="0.25">
      <c r="O71" s="192"/>
    </row>
  </sheetData>
  <mergeCells count="27">
    <mergeCell ref="H52:I52"/>
    <mergeCell ref="H53:I53"/>
    <mergeCell ref="H54:I54"/>
    <mergeCell ref="H34:I34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AI18:AJ18"/>
    <mergeCell ref="H35:I35"/>
    <mergeCell ref="H36:I36"/>
    <mergeCell ref="P1:R1"/>
    <mergeCell ref="B2:C2"/>
    <mergeCell ref="B10:C10"/>
    <mergeCell ref="B22:C22"/>
    <mergeCell ref="G2:I2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B18" sqref="B18"/>
    </sheetView>
  </sheetViews>
  <sheetFormatPr defaultRowHeight="15" x14ac:dyDescent="0.25"/>
  <cols>
    <col min="1" max="1" width="12.28515625" customWidth="1"/>
    <col min="2" max="2" width="15.5703125" customWidth="1"/>
    <col min="4" max="4" width="8.85546875" style="159"/>
    <col min="9" max="12" width="8.85546875" style="129"/>
    <col min="14" max="14" width="4" customWidth="1"/>
    <col min="15" max="15" width="5.5703125" customWidth="1"/>
  </cols>
  <sheetData>
    <row r="1" spans="1:15" ht="14.45" x14ac:dyDescent="0.3">
      <c r="A1" t="s">
        <v>375</v>
      </c>
      <c r="C1" s="29" t="s">
        <v>318</v>
      </c>
      <c r="D1" s="155" t="s">
        <v>319</v>
      </c>
      <c r="E1" s="29" t="s">
        <v>237</v>
      </c>
      <c r="F1" s="29" t="s">
        <v>320</v>
      </c>
      <c r="G1" s="29" t="s">
        <v>321</v>
      </c>
      <c r="H1" s="29" t="s">
        <v>331</v>
      </c>
      <c r="I1" s="128" t="s">
        <v>338</v>
      </c>
      <c r="J1" s="128" t="s">
        <v>323</v>
      </c>
      <c r="K1" s="128" t="s">
        <v>324</v>
      </c>
      <c r="L1" s="128" t="s">
        <v>131</v>
      </c>
      <c r="M1" s="29" t="s">
        <v>130</v>
      </c>
    </row>
    <row r="2" spans="1:15" ht="14.45" x14ac:dyDescent="0.3">
      <c r="A2" t="s">
        <v>357</v>
      </c>
      <c r="B2" t="s">
        <v>322</v>
      </c>
      <c r="C2" s="118">
        <v>101</v>
      </c>
      <c r="D2" s="156">
        <f>0.03/21</f>
        <v>1.4285714285714286E-3</v>
      </c>
      <c r="E2" s="119">
        <v>0.02</v>
      </c>
      <c r="F2" s="119">
        <v>5</v>
      </c>
      <c r="G2" s="119">
        <v>0.7</v>
      </c>
      <c r="H2" s="120">
        <v>0.3</v>
      </c>
      <c r="I2" s="129">
        <v>286.43884455306517</v>
      </c>
      <c r="J2" s="129">
        <v>98.111846032892785</v>
      </c>
      <c r="K2" s="129">
        <v>62.134129200061707</v>
      </c>
      <c r="L2" s="129">
        <v>231.77243199642797</v>
      </c>
      <c r="N2" t="s">
        <v>331</v>
      </c>
      <c r="O2" t="s">
        <v>359</v>
      </c>
    </row>
    <row r="3" spans="1:15" ht="14.45" x14ac:dyDescent="0.3">
      <c r="A3" t="s">
        <v>358</v>
      </c>
      <c r="B3" t="s">
        <v>340</v>
      </c>
      <c r="C3" s="121">
        <v>82</v>
      </c>
      <c r="D3" s="157">
        <v>3.0000000000000001E-3</v>
      </c>
      <c r="E3" s="122">
        <v>0.02</v>
      </c>
      <c r="F3" s="122">
        <v>0.01</v>
      </c>
      <c r="G3" s="127">
        <v>0.5</v>
      </c>
      <c r="H3" s="123">
        <v>0.1</v>
      </c>
      <c r="I3" s="129">
        <v>11.688341989633852</v>
      </c>
      <c r="J3" s="129">
        <v>8.9521519772239486</v>
      </c>
      <c r="K3" s="129">
        <v>8.9853751737854868</v>
      </c>
      <c r="L3" s="129">
        <v>29.907683415511393</v>
      </c>
      <c r="N3" t="s">
        <v>332</v>
      </c>
      <c r="O3" t="s">
        <v>359</v>
      </c>
    </row>
    <row r="4" spans="1:15" ht="14.45" x14ac:dyDescent="0.3">
      <c r="B4" t="s">
        <v>324</v>
      </c>
      <c r="C4" s="121">
        <v>59</v>
      </c>
      <c r="D4" s="157">
        <v>1E-3</v>
      </c>
      <c r="E4" s="122">
        <v>5.0000000000000001E-3</v>
      </c>
      <c r="F4" s="122">
        <v>0</v>
      </c>
      <c r="G4" s="127">
        <v>0</v>
      </c>
      <c r="H4" s="123">
        <v>0.06</v>
      </c>
      <c r="I4" s="129">
        <v>1.0134788965184949</v>
      </c>
      <c r="J4" s="129">
        <v>2.8309190208007471</v>
      </c>
      <c r="K4" s="129">
        <v>1.7928180470111126</v>
      </c>
      <c r="L4" s="129">
        <v>9.6325567204316336</v>
      </c>
      <c r="N4" t="s">
        <v>333</v>
      </c>
      <c r="O4" t="s">
        <v>359</v>
      </c>
    </row>
    <row r="5" spans="1:15" ht="14.45" x14ac:dyDescent="0.3">
      <c r="B5" t="s">
        <v>343</v>
      </c>
      <c r="C5" s="121">
        <v>130</v>
      </c>
      <c r="D5" s="157">
        <v>2.5000000000000001E-2</v>
      </c>
      <c r="E5" s="127">
        <v>0.05</v>
      </c>
      <c r="F5" s="127">
        <v>1</v>
      </c>
      <c r="G5" s="127">
        <v>0</v>
      </c>
      <c r="H5" s="123">
        <v>0.2</v>
      </c>
      <c r="I5" s="129">
        <v>24.508385896389129</v>
      </c>
      <c r="J5" s="129">
        <v>17.861891478029083</v>
      </c>
      <c r="K5" s="129">
        <v>4.9950083122791442</v>
      </c>
      <c r="L5" s="129">
        <v>46.47737323202449</v>
      </c>
      <c r="N5" t="s">
        <v>334</v>
      </c>
      <c r="O5" t="s">
        <v>359</v>
      </c>
    </row>
    <row r="6" spans="1:15" ht="14.45" x14ac:dyDescent="0.3">
      <c r="B6" t="s">
        <v>325</v>
      </c>
      <c r="C6" s="124">
        <v>100</v>
      </c>
      <c r="D6" s="158">
        <v>2.8571428571428571E-2</v>
      </c>
      <c r="E6" s="176">
        <v>0.05</v>
      </c>
      <c r="F6" s="176">
        <v>1</v>
      </c>
      <c r="G6" s="176">
        <v>0</v>
      </c>
      <c r="H6" s="177">
        <v>0.2</v>
      </c>
      <c r="I6" s="129">
        <v>101.19846551062898</v>
      </c>
      <c r="J6" s="129">
        <v>81.789737414098951</v>
      </c>
      <c r="K6" s="129">
        <v>58.59825360134252</v>
      </c>
      <c r="L6" s="129">
        <v>130.1740227384621</v>
      </c>
      <c r="N6" t="s">
        <v>318</v>
      </c>
      <c r="O6" t="s">
        <v>360</v>
      </c>
    </row>
    <row r="7" spans="1:15" ht="14.45" x14ac:dyDescent="0.3">
      <c r="B7" t="s">
        <v>382</v>
      </c>
      <c r="C7" s="181">
        <v>1</v>
      </c>
      <c r="I7" s="129">
        <v>19.082806040701957</v>
      </c>
      <c r="J7" s="129">
        <v>24.130878048703597</v>
      </c>
      <c r="K7" s="129">
        <v>47.729278438988246</v>
      </c>
      <c r="L7" s="129">
        <v>104.1827152363207</v>
      </c>
      <c r="N7" t="s">
        <v>335</v>
      </c>
      <c r="O7" t="s">
        <v>360</v>
      </c>
    </row>
    <row r="8" spans="1:15" ht="14.45" x14ac:dyDescent="0.3">
      <c r="B8" s="160" t="s">
        <v>383</v>
      </c>
      <c r="D8" s="182">
        <v>72</v>
      </c>
      <c r="I8" s="129">
        <v>660.22131840633892</v>
      </c>
      <c r="J8" s="129">
        <v>521.51702337749464</v>
      </c>
      <c r="K8" s="129">
        <v>0</v>
      </c>
      <c r="L8" s="129">
        <v>0</v>
      </c>
      <c r="N8" t="s">
        <v>321</v>
      </c>
      <c r="O8" t="s">
        <v>359</v>
      </c>
    </row>
    <row r="9" spans="1:15" ht="14.45" x14ac:dyDescent="0.3">
      <c r="B9" s="160" t="s">
        <v>384</v>
      </c>
      <c r="D9" s="182">
        <v>25</v>
      </c>
      <c r="I9" s="129">
        <v>342.44200801919533</v>
      </c>
      <c r="J9" s="129">
        <v>298.34446604083951</v>
      </c>
      <c r="K9" s="129">
        <v>313.29975437401384</v>
      </c>
      <c r="L9" s="129">
        <v>426.96321463157329</v>
      </c>
      <c r="N9" t="s">
        <v>336</v>
      </c>
      <c r="O9" t="s">
        <v>360</v>
      </c>
    </row>
    <row r="10" spans="1:15" ht="14.45" x14ac:dyDescent="0.3">
      <c r="I10" s="129">
        <v>4.8507416618807708</v>
      </c>
      <c r="J10" s="129">
        <v>1.0446288775253826E-2</v>
      </c>
      <c r="K10" s="129">
        <v>0</v>
      </c>
      <c r="L10" s="129">
        <v>0.92657728861914235</v>
      </c>
      <c r="N10" t="s">
        <v>337</v>
      </c>
      <c r="O10" t="s">
        <v>360</v>
      </c>
    </row>
    <row r="11" spans="1:15" ht="14.45" x14ac:dyDescent="0.3">
      <c r="C11" s="29" t="s">
        <v>339</v>
      </c>
      <c r="D11" s="155" t="s">
        <v>319</v>
      </c>
      <c r="E11" s="29" t="s">
        <v>237</v>
      </c>
      <c r="F11" s="29" t="s">
        <v>320</v>
      </c>
      <c r="G11" s="29" t="s">
        <v>321</v>
      </c>
      <c r="H11" s="29" t="s">
        <v>331</v>
      </c>
    </row>
    <row r="12" spans="1:15" ht="14.45" x14ac:dyDescent="0.3">
      <c r="A12" t="s">
        <v>326</v>
      </c>
      <c r="B12" t="s">
        <v>322</v>
      </c>
      <c r="C12" s="118">
        <v>103</v>
      </c>
      <c r="D12" s="156">
        <v>0.30099999999999999</v>
      </c>
      <c r="E12" s="119">
        <v>14</v>
      </c>
      <c r="F12" s="119">
        <v>8</v>
      </c>
      <c r="G12" s="119">
        <v>1</v>
      </c>
      <c r="H12" s="120">
        <v>0.1</v>
      </c>
      <c r="I12" s="129">
        <v>93.97395600572581</v>
      </c>
      <c r="J12" s="129">
        <v>36.826579451757496</v>
      </c>
      <c r="K12" s="129">
        <v>23.286197867809896</v>
      </c>
      <c r="L12" s="129">
        <v>71.211181042881748</v>
      </c>
      <c r="N12" t="s">
        <v>331</v>
      </c>
      <c r="O12" t="s">
        <v>359</v>
      </c>
    </row>
    <row r="13" spans="1:15" ht="14.45" x14ac:dyDescent="0.3">
      <c r="B13" t="s">
        <v>341</v>
      </c>
      <c r="C13" s="121">
        <v>78</v>
      </c>
      <c r="D13" s="157">
        <v>0.01</v>
      </c>
      <c r="E13" s="122">
        <v>0.2</v>
      </c>
      <c r="F13" s="122">
        <v>0</v>
      </c>
      <c r="G13" s="122">
        <v>0.5</v>
      </c>
      <c r="H13" s="123">
        <v>0.04</v>
      </c>
      <c r="I13" s="129">
        <v>3930.5154125223667</v>
      </c>
      <c r="J13" s="129">
        <v>24.354172656269721</v>
      </c>
      <c r="K13" s="129">
        <v>24.406785350855849</v>
      </c>
      <c r="L13" s="129">
        <v>9418.6830490033954</v>
      </c>
      <c r="N13" t="s">
        <v>332</v>
      </c>
      <c r="O13" t="s">
        <v>359</v>
      </c>
    </row>
    <row r="14" spans="1:15" ht="14.45" x14ac:dyDescent="0.3">
      <c r="B14" t="s">
        <v>324</v>
      </c>
      <c r="C14" s="121">
        <v>59</v>
      </c>
      <c r="D14" s="157">
        <v>4.7619047619047597E-3</v>
      </c>
      <c r="E14" s="122">
        <v>0.01</v>
      </c>
      <c r="F14" s="122">
        <v>0</v>
      </c>
      <c r="G14" s="122">
        <v>0</v>
      </c>
      <c r="H14" s="123">
        <v>0.02</v>
      </c>
      <c r="I14" s="129">
        <v>617.40920919028042</v>
      </c>
      <c r="J14" s="129">
        <v>6.4118798971993911</v>
      </c>
      <c r="K14" s="129">
        <v>4.8697939040097182</v>
      </c>
      <c r="L14" s="129">
        <v>2041.3044527768425</v>
      </c>
      <c r="N14" t="s">
        <v>333</v>
      </c>
      <c r="O14" t="s">
        <v>359</v>
      </c>
    </row>
    <row r="15" spans="1:15" ht="14.45" x14ac:dyDescent="0.3">
      <c r="B15" t="s">
        <v>342</v>
      </c>
      <c r="C15" s="124">
        <v>148</v>
      </c>
      <c r="D15" s="158">
        <v>0.253</v>
      </c>
      <c r="E15" s="125">
        <v>10</v>
      </c>
      <c r="F15" s="125">
        <v>1</v>
      </c>
      <c r="G15" s="125">
        <v>0</v>
      </c>
      <c r="H15" s="126">
        <v>0.7</v>
      </c>
      <c r="I15" s="129">
        <v>14930.45706901278</v>
      </c>
      <c r="J15" s="129">
        <v>22.750208376839453</v>
      </c>
      <c r="K15" s="129">
        <v>13.56783588282569</v>
      </c>
      <c r="L15" s="129">
        <v>9849.3548167398312</v>
      </c>
      <c r="N15" t="s">
        <v>334</v>
      </c>
      <c r="O15" t="s">
        <v>359</v>
      </c>
    </row>
    <row r="16" spans="1:15" ht="14.45" x14ac:dyDescent="0.3">
      <c r="I16" s="129">
        <v>99.326090190580047</v>
      </c>
      <c r="J16" s="129">
        <v>78.424332647430276</v>
      </c>
      <c r="K16" s="129">
        <v>59.059257944444475</v>
      </c>
      <c r="L16" s="129">
        <v>138.68521112545969</v>
      </c>
      <c r="N16" t="s">
        <v>318</v>
      </c>
      <c r="O16" t="s">
        <v>360</v>
      </c>
    </row>
    <row r="17" spans="1:17" ht="14.45" x14ac:dyDescent="0.3">
      <c r="I17" s="129">
        <v>30.243600498283762</v>
      </c>
      <c r="J17" s="129">
        <v>30.306807828422336</v>
      </c>
      <c r="K17" s="129">
        <v>48.14986272357504</v>
      </c>
      <c r="L17" s="129">
        <v>180.50693940896491</v>
      </c>
      <c r="N17" t="s">
        <v>335</v>
      </c>
      <c r="O17" t="s">
        <v>360</v>
      </c>
    </row>
    <row r="18" spans="1:17" ht="14.45" x14ac:dyDescent="0.3">
      <c r="I18" s="129">
        <v>1044.0869842243974</v>
      </c>
      <c r="J18" s="129">
        <v>498.02004244672128</v>
      </c>
      <c r="K18" s="129">
        <v>0</v>
      </c>
      <c r="L18" s="129">
        <v>0</v>
      </c>
      <c r="N18" t="s">
        <v>321</v>
      </c>
      <c r="O18" t="s">
        <v>359</v>
      </c>
    </row>
    <row r="19" spans="1:17" ht="14.45" x14ac:dyDescent="0.3">
      <c r="I19" s="129">
        <v>910.25375836818091</v>
      </c>
      <c r="J19" s="129">
        <v>366.84816919108039</v>
      </c>
      <c r="K19" s="129">
        <v>373.51159187615775</v>
      </c>
      <c r="L19" s="129">
        <v>989.27586932926522</v>
      </c>
      <c r="N19" t="s">
        <v>336</v>
      </c>
      <c r="O19" t="s">
        <v>360</v>
      </c>
    </row>
    <row r="20" spans="1:17" ht="14.45" x14ac:dyDescent="0.3">
      <c r="I20" s="129">
        <v>7.7615514663263392</v>
      </c>
      <c r="J20" s="129">
        <v>2.4935199662329656E-3</v>
      </c>
      <c r="K20" s="129">
        <v>0</v>
      </c>
      <c r="L20" s="129">
        <v>0.97653921400417742</v>
      </c>
      <c r="N20" t="s">
        <v>337</v>
      </c>
      <c r="O20" t="s">
        <v>360</v>
      </c>
    </row>
    <row r="21" spans="1:17" ht="14.45" x14ac:dyDescent="0.3">
      <c r="C21" s="29" t="s">
        <v>318</v>
      </c>
      <c r="D21" s="155" t="s">
        <v>319</v>
      </c>
      <c r="E21" s="29" t="s">
        <v>237</v>
      </c>
      <c r="F21" s="29" t="s">
        <v>377</v>
      </c>
      <c r="I21" s="128" t="s">
        <v>328</v>
      </c>
      <c r="J21" s="128" t="s">
        <v>329</v>
      </c>
      <c r="K21" s="128" t="s">
        <v>376</v>
      </c>
      <c r="L21" s="128" t="s">
        <v>374</v>
      </c>
    </row>
    <row r="22" spans="1:17" ht="14.45" x14ac:dyDescent="0.3">
      <c r="A22" t="s">
        <v>327</v>
      </c>
      <c r="B22" t="s">
        <v>328</v>
      </c>
      <c r="C22" s="161">
        <v>67</v>
      </c>
      <c r="D22" s="156">
        <f>0.02/21</f>
        <v>9.5238095238095238E-4</v>
      </c>
      <c r="E22" s="119"/>
      <c r="F22" s="180">
        <v>0.01</v>
      </c>
      <c r="N22" t="s">
        <v>331</v>
      </c>
      <c r="O22" t="s">
        <v>359</v>
      </c>
    </row>
    <row r="23" spans="1:17" ht="14.45" x14ac:dyDescent="0.3">
      <c r="B23" t="s">
        <v>329</v>
      </c>
      <c r="C23" s="121">
        <v>69</v>
      </c>
      <c r="D23" s="157">
        <f>0.03/21</f>
        <v>1.4285714285714286E-3</v>
      </c>
      <c r="E23" s="122"/>
      <c r="F23" s="162">
        <f>J25*Q25</f>
        <v>2.777777777777778E-2</v>
      </c>
      <c r="G23" t="s">
        <v>381</v>
      </c>
      <c r="N23" t="s">
        <v>332</v>
      </c>
      <c r="O23" t="s">
        <v>359</v>
      </c>
    </row>
    <row r="24" spans="1:17" ht="14.45" x14ac:dyDescent="0.3">
      <c r="B24" t="s">
        <v>376</v>
      </c>
      <c r="C24" s="174">
        <v>70</v>
      </c>
      <c r="D24" s="178">
        <f>0.03/21</f>
        <v>1.4285714285714286E-3</v>
      </c>
      <c r="E24" s="122"/>
      <c r="F24" s="175">
        <f>0.24*F23</f>
        <v>6.6666666666666671E-3</v>
      </c>
      <c r="N24" t="s">
        <v>333</v>
      </c>
      <c r="O24" t="s">
        <v>359</v>
      </c>
    </row>
    <row r="25" spans="1:17" ht="14.45" x14ac:dyDescent="0.3">
      <c r="B25" t="s">
        <v>330</v>
      </c>
      <c r="C25" s="124">
        <v>64</v>
      </c>
      <c r="D25" s="158">
        <f>0.2/21</f>
        <v>9.5238095238095247E-3</v>
      </c>
      <c r="E25" s="125"/>
      <c r="F25" s="177">
        <v>0.03</v>
      </c>
      <c r="J25" s="129">
        <v>0.1</v>
      </c>
      <c r="N25" t="s">
        <v>378</v>
      </c>
      <c r="O25" t="s">
        <v>379</v>
      </c>
      <c r="P25" s="179" t="s">
        <v>380</v>
      </c>
      <c r="Q25">
        <f>1/3.6</f>
        <v>0.27777777777777779</v>
      </c>
    </row>
    <row r="26" spans="1:17" ht="14.45" x14ac:dyDescent="0.3">
      <c r="C26" t="s">
        <v>368</v>
      </c>
      <c r="D26" s="159">
        <v>29.7</v>
      </c>
      <c r="E26" t="s">
        <v>369</v>
      </c>
      <c r="F26" t="s">
        <v>407</v>
      </c>
      <c r="G26">
        <v>45</v>
      </c>
      <c r="H26" t="s">
        <v>369</v>
      </c>
      <c r="N26" t="s">
        <v>318</v>
      </c>
      <c r="O26" t="s">
        <v>360</v>
      </c>
    </row>
    <row r="27" spans="1:17" ht="14.45" x14ac:dyDescent="0.3">
      <c r="C27" t="s">
        <v>361</v>
      </c>
      <c r="D27" s="159">
        <v>24</v>
      </c>
      <c r="E27" t="s">
        <v>370</v>
      </c>
      <c r="F27" t="s">
        <v>329</v>
      </c>
      <c r="G27">
        <v>45</v>
      </c>
      <c r="H27" t="s">
        <v>369</v>
      </c>
      <c r="N27" t="s">
        <v>335</v>
      </c>
      <c r="O27" t="s">
        <v>360</v>
      </c>
    </row>
    <row r="28" spans="1:17" ht="14.45" x14ac:dyDescent="0.3">
      <c r="C28" t="s">
        <v>362</v>
      </c>
      <c r="D28" s="159">
        <v>6</v>
      </c>
      <c r="E28" t="s">
        <v>370</v>
      </c>
      <c r="F28" t="s">
        <v>376</v>
      </c>
      <c r="G28">
        <v>56</v>
      </c>
      <c r="H28" t="s">
        <v>369</v>
      </c>
      <c r="N28" t="s">
        <v>321</v>
      </c>
      <c r="O28" t="s">
        <v>359</v>
      </c>
    </row>
    <row r="29" spans="1:17" ht="14.45" x14ac:dyDescent="0.3">
      <c r="C29" t="s">
        <v>363</v>
      </c>
      <c r="D29" s="159">
        <v>16</v>
      </c>
      <c r="E29" t="s">
        <v>370</v>
      </c>
      <c r="N29" t="s">
        <v>336</v>
      </c>
      <c r="O29" t="s">
        <v>360</v>
      </c>
    </row>
    <row r="30" spans="1:17" ht="14.45" x14ac:dyDescent="0.3">
      <c r="C30" s="160" t="s">
        <v>364</v>
      </c>
      <c r="D30" s="159">
        <f>D27/(D27+D28+D29)</f>
        <v>0.52173913043478259</v>
      </c>
      <c r="E30" t="s">
        <v>365</v>
      </c>
      <c r="N30" t="s">
        <v>337</v>
      </c>
      <c r="O30" t="s">
        <v>360</v>
      </c>
    </row>
    <row r="31" spans="1:17" ht="14.45" x14ac:dyDescent="0.3">
      <c r="C31" s="160" t="s">
        <v>366</v>
      </c>
      <c r="D31" s="159">
        <f>D30*44/12</f>
        <v>1.9130434782608694</v>
      </c>
      <c r="E31" t="s">
        <v>371</v>
      </c>
    </row>
    <row r="32" spans="1:17" ht="14.45" x14ac:dyDescent="0.3">
      <c r="C32" s="160" t="s">
        <v>367</v>
      </c>
      <c r="D32" s="159">
        <f>D31/D26</f>
        <v>6.4412238325281798E-2</v>
      </c>
      <c r="E32" t="s">
        <v>371</v>
      </c>
    </row>
    <row r="35" spans="2:7" x14ac:dyDescent="0.25">
      <c r="B35" s="6"/>
      <c r="C35" s="130" t="s">
        <v>303</v>
      </c>
      <c r="D35"/>
      <c r="F35" s="130" t="s">
        <v>303</v>
      </c>
      <c r="G35" s="3"/>
    </row>
    <row r="36" spans="2:7" x14ac:dyDescent="0.25">
      <c r="B36" s="131" t="s">
        <v>372</v>
      </c>
      <c r="C36" s="140">
        <v>1</v>
      </c>
      <c r="D36"/>
      <c r="E36" s="134" t="s">
        <v>344</v>
      </c>
      <c r="F36" s="143">
        <v>99.5</v>
      </c>
      <c r="G36" s="183">
        <f t="shared" ref="G36:G44" si="0">(1-F36/100)</f>
        <v>5.0000000000000044E-3</v>
      </c>
    </row>
    <row r="37" spans="2:7" x14ac:dyDescent="0.25">
      <c r="B37" s="132" t="s">
        <v>346</v>
      </c>
      <c r="C37" s="141">
        <v>2.5</v>
      </c>
      <c r="D37"/>
      <c r="E37" s="135" t="s">
        <v>345</v>
      </c>
      <c r="F37" s="144">
        <v>99</v>
      </c>
      <c r="G37" s="183">
        <f t="shared" si="0"/>
        <v>1.0000000000000009E-2</v>
      </c>
    </row>
    <row r="38" spans="2:7" x14ac:dyDescent="0.25">
      <c r="B38" s="132" t="s">
        <v>347</v>
      </c>
      <c r="C38" s="141">
        <v>0.5</v>
      </c>
      <c r="D38"/>
      <c r="E38" s="136" t="s">
        <v>349</v>
      </c>
      <c r="F38" s="145">
        <v>95</v>
      </c>
      <c r="G38" s="183">
        <f t="shared" si="0"/>
        <v>5.0000000000000044E-2</v>
      </c>
    </row>
    <row r="39" spans="2:7" x14ac:dyDescent="0.25">
      <c r="B39" s="132" t="s">
        <v>348</v>
      </c>
      <c r="C39" s="141">
        <v>0.1</v>
      </c>
      <c r="D39"/>
      <c r="E39" s="137" t="s">
        <v>350</v>
      </c>
      <c r="F39" s="146">
        <v>80</v>
      </c>
      <c r="G39" s="183">
        <f t="shared" si="0"/>
        <v>0.19999999999999996</v>
      </c>
    </row>
    <row r="40" spans="2:7" x14ac:dyDescent="0.25">
      <c r="B40" s="133" t="s">
        <v>373</v>
      </c>
      <c r="C40" s="142">
        <v>0.05</v>
      </c>
      <c r="D40"/>
      <c r="E40" s="138" t="s">
        <v>351</v>
      </c>
      <c r="F40" s="149">
        <v>0</v>
      </c>
      <c r="G40" s="183">
        <f t="shared" si="0"/>
        <v>1</v>
      </c>
    </row>
    <row r="41" spans="2:7" x14ac:dyDescent="0.25">
      <c r="B41" s="7"/>
      <c r="C41" s="7"/>
      <c r="D41"/>
      <c r="E41" s="139" t="s">
        <v>352</v>
      </c>
      <c r="F41" s="147">
        <v>0</v>
      </c>
      <c r="G41" s="183">
        <f t="shared" si="0"/>
        <v>1</v>
      </c>
    </row>
    <row r="42" spans="2:7" x14ac:dyDescent="0.25">
      <c r="B42" s="7"/>
      <c r="C42" s="7"/>
      <c r="D42"/>
      <c r="E42" s="134" t="s">
        <v>353</v>
      </c>
      <c r="F42" s="146">
        <v>0</v>
      </c>
      <c r="G42" s="183">
        <f t="shared" si="0"/>
        <v>1</v>
      </c>
    </row>
    <row r="43" spans="2:7" x14ac:dyDescent="0.25">
      <c r="B43" s="7"/>
      <c r="C43" s="7"/>
      <c r="D43"/>
      <c r="E43" s="135" t="s">
        <v>354</v>
      </c>
      <c r="F43" s="148">
        <v>0</v>
      </c>
      <c r="G43" s="183">
        <f t="shared" si="0"/>
        <v>1</v>
      </c>
    </row>
    <row r="44" spans="2:7" x14ac:dyDescent="0.25">
      <c r="B44" s="7"/>
      <c r="C44" s="7"/>
      <c r="D44"/>
      <c r="E44" s="136" t="s">
        <v>355</v>
      </c>
      <c r="F44" s="147">
        <v>0</v>
      </c>
      <c r="G44" s="183">
        <f t="shared" si="0"/>
        <v>1</v>
      </c>
    </row>
    <row r="45" spans="2:7" x14ac:dyDescent="0.25">
      <c r="D45"/>
    </row>
    <row r="46" spans="2:7" x14ac:dyDescent="0.25">
      <c r="B46" s="184"/>
      <c r="C46" s="187"/>
      <c r="D46" s="205" t="s">
        <v>390</v>
      </c>
      <c r="E46" s="206"/>
      <c r="F46" s="188"/>
    </row>
    <row r="47" spans="2:7" x14ac:dyDescent="0.25">
      <c r="B47" s="184"/>
      <c r="C47" s="189" t="s">
        <v>391</v>
      </c>
      <c r="D47" s="190" t="s">
        <v>391</v>
      </c>
      <c r="E47" s="185" t="s">
        <v>389</v>
      </c>
      <c r="F47" s="189" t="s">
        <v>389</v>
      </c>
      <c r="G47" s="191"/>
    </row>
    <row r="48" spans="2:7" x14ac:dyDescent="0.25">
      <c r="B48" s="186" t="s">
        <v>127</v>
      </c>
      <c r="C48" s="194">
        <v>0.37</v>
      </c>
      <c r="D48" s="195">
        <v>0.32</v>
      </c>
      <c r="E48" s="195">
        <v>0.5</v>
      </c>
      <c r="F48" s="196">
        <v>1</v>
      </c>
      <c r="G48" s="191"/>
    </row>
    <row r="49" spans="2:7" x14ac:dyDescent="0.25">
      <c r="B49" s="186" t="s">
        <v>128</v>
      </c>
      <c r="C49" s="197"/>
      <c r="D49" s="193"/>
      <c r="E49" s="193"/>
      <c r="F49" s="198"/>
      <c r="G49" s="191"/>
    </row>
    <row r="50" spans="2:7" x14ac:dyDescent="0.25">
      <c r="B50" s="186" t="s">
        <v>129</v>
      </c>
      <c r="C50" s="197"/>
      <c r="D50" s="193"/>
      <c r="E50" s="193"/>
      <c r="F50" s="198"/>
      <c r="G50" s="191"/>
    </row>
    <row r="51" spans="2:7" x14ac:dyDescent="0.25">
      <c r="B51" s="186" t="s">
        <v>125</v>
      </c>
      <c r="C51" s="197">
        <v>0.45</v>
      </c>
      <c r="D51" s="193">
        <v>0.35</v>
      </c>
      <c r="E51" s="193">
        <v>0.55000000000000004</v>
      </c>
      <c r="F51" s="198">
        <v>0.9</v>
      </c>
      <c r="G51" s="192"/>
    </row>
    <row r="52" spans="2:7" x14ac:dyDescent="0.25">
      <c r="B52" s="186" t="s">
        <v>136</v>
      </c>
      <c r="C52" s="197">
        <v>0.5</v>
      </c>
      <c r="D52" s="193">
        <v>0.4</v>
      </c>
      <c r="E52" s="193">
        <v>0.5</v>
      </c>
      <c r="F52" s="198">
        <v>0.9</v>
      </c>
    </row>
    <row r="53" spans="2:7" x14ac:dyDescent="0.25">
      <c r="B53" s="186" t="s">
        <v>126</v>
      </c>
      <c r="C53" s="197">
        <v>0.53</v>
      </c>
      <c r="D53" s="193">
        <v>0.4</v>
      </c>
      <c r="E53" s="193">
        <v>0.5</v>
      </c>
      <c r="F53" s="198">
        <v>0.9</v>
      </c>
    </row>
    <row r="54" spans="2:7" x14ac:dyDescent="0.25">
      <c r="B54" s="186" t="s">
        <v>131</v>
      </c>
      <c r="C54" s="197">
        <v>0.4</v>
      </c>
      <c r="D54" s="193">
        <v>0.33</v>
      </c>
      <c r="E54" s="193">
        <v>0.55000000000000004</v>
      </c>
      <c r="F54" s="198">
        <v>0.9</v>
      </c>
    </row>
    <row r="55" spans="2:7" x14ac:dyDescent="0.25">
      <c r="B55" s="186" t="s">
        <v>325</v>
      </c>
      <c r="C55" s="199">
        <v>0.4</v>
      </c>
      <c r="D55" s="200">
        <v>0.33</v>
      </c>
      <c r="E55" s="200">
        <v>0.55000000000000004</v>
      </c>
      <c r="F55" s="201">
        <v>0.9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Concept</vt:lpstr>
      <vt:lpstr>Visual model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mattija</dc:creator>
  <cp:lastModifiedBy>Neukkari</cp:lastModifiedBy>
  <cp:lastPrinted>2012-06-28T21:03:00Z</cp:lastPrinted>
  <dcterms:created xsi:type="dcterms:W3CDTF">2012-02-01T12:14:52Z</dcterms:created>
  <dcterms:modified xsi:type="dcterms:W3CDTF">2012-09-12T12:08:32Z</dcterms:modified>
</cp:coreProperties>
</file>