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681" activeTab="2"/>
  </bookViews>
  <sheets>
    <sheet name="Read Me" sheetId="1" r:id="rId1"/>
    <sheet name="Conversions" sheetId="2" r:id="rId2"/>
    <sheet name="MMR IR" sheetId="3" r:id="rId3"/>
    <sheet name="DALYs" sheetId="4" r:id="rId4"/>
    <sheet name="BOD estimates" sheetId="5" r:id="rId5"/>
  </sheets>
  <definedNames>
    <definedName name="Agewt" localSheetId="3">'DALYs'!$C$13</definedName>
    <definedName name="Agewt">#REF!</definedName>
    <definedName name="Analyst" localSheetId="3">'DALYs'!#REF!</definedName>
    <definedName name="Analyst">#REF!</definedName>
    <definedName name="Beta" localSheetId="3">'DALYs'!$C$10</definedName>
    <definedName name="Beta">#REF!</definedName>
    <definedName name="BplusR" localSheetId="3">'DALYs'!$C$12</definedName>
    <definedName name="BplusR">#REF!</definedName>
    <definedName name="Const" localSheetId="3">'DALYs'!$C$11</definedName>
    <definedName name="Const">#REF!</definedName>
    <definedName name="Date" localSheetId="3">'DALYs'!#REF!</definedName>
    <definedName name="Date">#REF!</definedName>
    <definedName name="Inc" localSheetId="3">'DALYs'!$D:$D</definedName>
    <definedName name="Inc">#REF!</definedName>
    <definedName name="_xlnm.Print_Area" localSheetId="3">'DALYs'!$A:$IV</definedName>
    <definedName name="Rate" localSheetId="3">'DALYs'!$C$9</definedName>
    <definedName name="Rate">#REF!</definedName>
    <definedName name="Seifa_analyst">#REF!</definedName>
    <definedName name="Seifa_date">#REF!</definedName>
    <definedName name="Seifa_status">#REF!</definedName>
    <definedName name="State_date">#REF!</definedName>
    <definedName name="States_analyst">#REF!</definedName>
    <definedName name="States_date">#REF!</definedName>
    <definedName name="States_status">#REF!</definedName>
    <definedName name="Status" localSheetId="3">'DALYs'!#REF!</definedName>
    <definedName name="Status">#REF!</definedName>
  </definedNames>
  <calcPr fullCalcOnLoad="1"/>
</workbook>
</file>

<file path=xl/comments3.xml><?xml version="1.0" encoding="utf-8"?>
<comments xmlns="http://schemas.openxmlformats.org/spreadsheetml/2006/main">
  <authors>
    <author>olex</author>
  </authors>
  <commentList>
    <comment ref="B3" authorId="0">
      <text>
        <r>
          <rPr>
            <b/>
            <sz val="8"/>
            <rFont val="Tahoma"/>
            <family val="0"/>
          </rPr>
          <t xml:space="preserve">Olli Leino
</t>
        </r>
        <r>
          <rPr>
            <sz val="8"/>
            <rFont val="Tahoma"/>
            <family val="2"/>
          </rPr>
          <t>Laskettu  BENERIS projektin kalansyöntidatan avulla, huomioiden myös muu saanti kuin kala</t>
        </r>
      </text>
    </comment>
    <comment ref="B2" authorId="0">
      <text>
        <r>
          <rPr>
            <b/>
            <sz val="8"/>
            <rFont val="Tahoma"/>
            <family val="0"/>
          </rPr>
          <t xml:space="preserve">Olli Leino
</t>
        </r>
        <r>
          <rPr>
            <sz val="8"/>
            <rFont val="Tahoma"/>
            <family val="2"/>
          </rPr>
          <t>Laskettu  BENERIS projektin kalansyöntidatan avulla, huomioiden myös muu saanti kuin kala</t>
        </r>
        <r>
          <rPr>
            <sz val="8"/>
            <rFont val="Tahoma"/>
            <family val="0"/>
          </rPr>
          <t xml:space="preserve">
</t>
        </r>
      </text>
    </comment>
  </commentList>
</comments>
</file>

<file path=xl/comments4.xml><?xml version="1.0" encoding="utf-8"?>
<comments xmlns="http://schemas.openxmlformats.org/spreadsheetml/2006/main">
  <authors>
    <author>olex</author>
  </authors>
  <commentList>
    <comment ref="C3" authorId="0">
      <text>
        <r>
          <rPr>
            <b/>
            <sz val="8"/>
            <rFont val="Tahoma"/>
            <family val="0"/>
          </rPr>
          <t xml:space="preserve">Olli Leino
</t>
        </r>
        <r>
          <rPr>
            <sz val="8"/>
            <rFont val="Tahoma"/>
            <family val="2"/>
          </rPr>
          <t>95% of Finnish pregnant women eat fish, which is the dominant  source of MeHg.</t>
        </r>
      </text>
    </comment>
  </commentList>
</comments>
</file>

<file path=xl/sharedStrings.xml><?xml version="1.0" encoding="utf-8"?>
<sst xmlns="http://schemas.openxmlformats.org/spreadsheetml/2006/main" count="249" uniqueCount="230">
  <si>
    <t>Biomarker</t>
  </si>
  <si>
    <t>SD</t>
  </si>
  <si>
    <t>Blood (ug/L)</t>
  </si>
  <si>
    <t>Cord-blood (ug/L)</t>
  </si>
  <si>
    <t>Mean</t>
  </si>
  <si>
    <t>Hair Mean</t>
  </si>
  <si>
    <t>Hair SD</t>
  </si>
  <si>
    <t>NOTE:</t>
  </si>
  <si>
    <t>Population</t>
  </si>
  <si>
    <t>hair (ug/g) = blood (ug/L) / 1000 * 250</t>
  </si>
  <si>
    <t>Guidance for using the Mercury Spreadsheet</t>
  </si>
  <si>
    <t>MMR</t>
  </si>
  <si>
    <t xml:space="preserve">Additional guidance and background in: </t>
  </si>
  <si>
    <t>Hg</t>
  </si>
  <si>
    <t>Abbreviations:</t>
  </si>
  <si>
    <r>
      <t xml:space="preserve">Green fields are for spreedsheet </t>
    </r>
    <r>
      <rPr>
        <b/>
        <sz val="11"/>
        <rFont val="Times New Roman"/>
        <family val="1"/>
      </rPr>
      <t>input</t>
    </r>
  </si>
  <si>
    <r>
      <t xml:space="preserve">Yellow fields are the spreedsheet </t>
    </r>
    <r>
      <rPr>
        <b/>
        <sz val="11"/>
        <rFont val="Times New Roman"/>
        <family val="1"/>
      </rPr>
      <t>output</t>
    </r>
  </si>
  <si>
    <t>DALY Parameters</t>
  </si>
  <si>
    <t>Discount rate (r)</t>
  </si>
  <si>
    <t>Standard discount rate is 0.03</t>
  </si>
  <si>
    <t>Beta (b)</t>
  </si>
  <si>
    <t>Standard age weights use beta=0.04</t>
  </si>
  <si>
    <t>Constant (C)</t>
  </si>
  <si>
    <t>Standard age weights use C=0.1658</t>
  </si>
  <si>
    <t>-(b+r)</t>
  </si>
  <si>
    <t>K</t>
  </si>
  <si>
    <t>K=0 (no age weights) to 1 (full age weights)</t>
  </si>
  <si>
    <t>Incidence</t>
  </si>
  <si>
    <t>Age at</t>
  </si>
  <si>
    <t>Duration</t>
  </si>
  <si>
    <t>Disability</t>
  </si>
  <si>
    <t>YLDs</t>
  </si>
  <si>
    <t>YLD per</t>
  </si>
  <si>
    <t>per 1,000</t>
  </si>
  <si>
    <t>onset</t>
  </si>
  <si>
    <t>(years)</t>
  </si>
  <si>
    <t>Weight</t>
  </si>
  <si>
    <t>DALYs</t>
  </si>
  <si>
    <t>DALYs per</t>
  </si>
  <si>
    <t>If required, change discount and age weight parameters for DALY calculation in the grey box below.</t>
  </si>
  <si>
    <r>
      <t>Input</t>
    </r>
    <r>
      <rPr>
        <sz val="11"/>
        <rFont val="Times New Roman"/>
        <family val="1"/>
      </rPr>
      <t>: population data (number of infants born per year)</t>
    </r>
  </si>
  <si>
    <r>
      <t>Input:</t>
    </r>
    <r>
      <rPr>
        <sz val="11"/>
        <rFont val="Times New Roman"/>
        <family val="1"/>
      </rPr>
      <t xml:space="preserve"> incidence rate (from 'MMR incidence' worksheet)</t>
    </r>
  </si>
  <si>
    <t>Group</t>
  </si>
  <si>
    <t>Total DALYs</t>
  </si>
  <si>
    <t>Boys</t>
  </si>
  <si>
    <t>Girls</t>
  </si>
  <si>
    <r>
      <t>Output</t>
    </r>
    <r>
      <rPr>
        <sz val="11"/>
        <rFont val="Times New Roman"/>
        <family val="1"/>
      </rPr>
      <t>: use the incidence of MMR per 1000 infants as input for the DALY calculation template</t>
    </r>
  </si>
  <si>
    <t>YLDs ("healthy" years lost due to disability)</t>
  </si>
  <si>
    <t>DALYs (disability adjusted life years)</t>
  </si>
  <si>
    <t xml:space="preserve">Input and output fields: </t>
  </si>
  <si>
    <t>Disability-adjusted life years</t>
  </si>
  <si>
    <t>Years life lost due to disability</t>
  </si>
  <si>
    <t>Mercury</t>
  </si>
  <si>
    <t>Mild mental retardation</t>
  </si>
  <si>
    <t>Standard deviation</t>
  </si>
  <si>
    <t>Poulin J, Gibb H. WHO, Geneva, 2007</t>
  </si>
  <si>
    <t>Proportion MMR</t>
  </si>
  <si>
    <t>Incidence rate</t>
  </si>
  <si>
    <t>Proportion above Hg level</t>
  </si>
  <si>
    <t>Proportion in Hg interval</t>
  </si>
  <si>
    <t>Rate of IQ loss per 1000 infants</t>
  </si>
  <si>
    <t>Rate*Proportion</t>
  </si>
  <si>
    <t>2-4</t>
  </si>
  <si>
    <t>0-2</t>
  </si>
  <si>
    <t>4-6</t>
  </si>
  <si>
    <t>6-8</t>
  </si>
  <si>
    <t>8-10</t>
  </si>
  <si>
    <t>10-12</t>
  </si>
  <si>
    <t>12-14</t>
  </si>
  <si>
    <t>14-16</t>
  </si>
  <si>
    <t>16-18</t>
  </si>
  <si>
    <t>18-20</t>
  </si>
  <si>
    <t>20-22</t>
  </si>
  <si>
    <t>22-24</t>
  </si>
  <si>
    <t>24-26</t>
  </si>
  <si>
    <t>26-28</t>
  </si>
  <si>
    <t>28-30</t>
  </si>
  <si>
    <t>30-32</t>
  </si>
  <si>
    <t>32-34</t>
  </si>
  <si>
    <t>34-36</t>
  </si>
  <si>
    <t>36-38</t>
  </si>
  <si>
    <t>38-40</t>
  </si>
  <si>
    <t>40-42</t>
  </si>
  <si>
    <t>42-44</t>
  </si>
  <si>
    <t>44-46</t>
  </si>
  <si>
    <t>46-48</t>
  </si>
  <si>
    <t>48-50</t>
  </si>
  <si>
    <t>50-52</t>
  </si>
  <si>
    <t>52-54</t>
  </si>
  <si>
    <t>54-56</t>
  </si>
  <si>
    <t>56-58</t>
  </si>
  <si>
    <t>58-60</t>
  </si>
  <si>
    <t>60-62</t>
  </si>
  <si>
    <t>62-64</t>
  </si>
  <si>
    <t>64-66</t>
  </si>
  <si>
    <t>66-68</t>
  </si>
  <si>
    <t>68-70</t>
  </si>
  <si>
    <t>70-72</t>
  </si>
  <si>
    <t>72-74</t>
  </si>
  <si>
    <t>74-76</t>
  </si>
  <si>
    <t>76-78</t>
  </si>
  <si>
    <t>78-80</t>
  </si>
  <si>
    <t>80-82</t>
  </si>
  <si>
    <t>82-84</t>
  </si>
  <si>
    <t>84-86</t>
  </si>
  <si>
    <t>86-88</t>
  </si>
  <si>
    <t>88-90</t>
  </si>
  <si>
    <t>90-92</t>
  </si>
  <si>
    <t>92-94</t>
  </si>
  <si>
    <t>94-96</t>
  </si>
  <si>
    <t>96-98</t>
  </si>
  <si>
    <t>98-100</t>
  </si>
  <si>
    <t>&gt;100</t>
  </si>
  <si>
    <t>0.18 point IQ loss</t>
  </si>
  <si>
    <t>0.54 point IQ loss</t>
  </si>
  <si>
    <t>1.26 point IQ loss</t>
  </si>
  <si>
    <t>1.62 point IQ loss</t>
  </si>
  <si>
    <t>1.98 point IQ loss</t>
  </si>
  <si>
    <t>2.34 point IQ loss</t>
  </si>
  <si>
    <t>3.06 point IQ loss</t>
  </si>
  <si>
    <t>3.42 point IQ loss</t>
  </si>
  <si>
    <t>3.78 point IQ loss</t>
  </si>
  <si>
    <t>4.14 point IQ loss</t>
  </si>
  <si>
    <t>4.86 point IQ loss</t>
  </si>
  <si>
    <t>5.22 point IQ loss</t>
  </si>
  <si>
    <t>5.58 point IQ loss</t>
  </si>
  <si>
    <t>5.94 point IQ loss</t>
  </si>
  <si>
    <t>6.66 point IQ loss</t>
  </si>
  <si>
    <t>7.02 point IQ loss</t>
  </si>
  <si>
    <t>7.38 point IQ loss</t>
  </si>
  <si>
    <t>7.74 point IQ loss</t>
  </si>
  <si>
    <t>8.46 point IQ loss</t>
  </si>
  <si>
    <t>8.82 point IQ loss</t>
  </si>
  <si>
    <t>9.18 point IQ loss</t>
  </si>
  <si>
    <t>9.54 point IQ loss</t>
  </si>
  <si>
    <t>10.26 point IQ loss</t>
  </si>
  <si>
    <t>10.62 point IQ loss</t>
  </si>
  <si>
    <t>10.98 point IQ loss</t>
  </si>
  <si>
    <t>11.34 point IQ loss</t>
  </si>
  <si>
    <t>12.06 point IQ loss</t>
  </si>
  <si>
    <t>12.42 point IQ loss</t>
  </si>
  <si>
    <t>12.78 point IQ loss</t>
  </si>
  <si>
    <t>13.14 point IQ loss</t>
  </si>
  <si>
    <t>13.86 point IQ loss</t>
  </si>
  <si>
    <t>14.22 point IQ loss</t>
  </si>
  <si>
    <t>14.58 point IQ loss</t>
  </si>
  <si>
    <t>14.94 point IQ loss</t>
  </si>
  <si>
    <t>15.66 point IQ loss</t>
  </si>
  <si>
    <t>16.02 point IQ loss</t>
  </si>
  <si>
    <t>16.38 point IQ loss</t>
  </si>
  <si>
    <t>16.74 point IQ loss</t>
  </si>
  <si>
    <t>17.46 point IQ loss</t>
  </si>
  <si>
    <t>17.82 point IQ loss</t>
  </si>
  <si>
    <t>0.90 point IQ loss</t>
  </si>
  <si>
    <t>2.70 point IQ loss</t>
  </si>
  <si>
    <t>4.50 point IQ loss</t>
  </si>
  <si>
    <t>6.30 point IQ loss</t>
  </si>
  <si>
    <t>8.10 point IQ loss</t>
  </si>
  <si>
    <t>9.90 point IQ loss</t>
  </si>
  <si>
    <t>11.70 point IQ loss</t>
  </si>
  <si>
    <t>13.50 point IQ loss</t>
  </si>
  <si>
    <t>15.30 point IQ loss</t>
  </si>
  <si>
    <t>17.10 point IQ loss</t>
  </si>
  <si>
    <t>18.00 point IQ loss</t>
  </si>
  <si>
    <t>blood:</t>
  </si>
  <si>
    <t>cord-blood:</t>
  </si>
  <si>
    <t>hair (ug/g) = [(cord-blood (ug/L) / 1000) / 1.7] * 250</t>
  </si>
  <si>
    <t>MMR IR</t>
  </si>
  <si>
    <t>DALYs/1000</t>
  </si>
  <si>
    <t xml:space="preserve">Santos et al., 2002 </t>
  </si>
  <si>
    <t>Brazil</t>
  </si>
  <si>
    <t xml:space="preserve">Zhang et al., 2006 </t>
  </si>
  <si>
    <t>China</t>
  </si>
  <si>
    <t xml:space="preserve">Olivero et al., 2002 </t>
  </si>
  <si>
    <t>Columbia</t>
  </si>
  <si>
    <t xml:space="preserve">Muckle et al., 2001 </t>
  </si>
  <si>
    <t>Canada</t>
  </si>
  <si>
    <t xml:space="preserve">Bjerregaard and Hansen, 2000 </t>
  </si>
  <si>
    <t xml:space="preserve">Cole et al., 2004 </t>
  </si>
  <si>
    <t xml:space="preserve">Iwasaki et al., 2003 </t>
  </si>
  <si>
    <t>Japan</t>
  </si>
  <si>
    <t xml:space="preserve">Stamler et al., 2006 </t>
  </si>
  <si>
    <t>Study</t>
  </si>
  <si>
    <t>Country</t>
  </si>
  <si>
    <t>Greenland</t>
  </si>
  <si>
    <t>LE</t>
  </si>
  <si>
    <t>Life expectancy</t>
  </si>
  <si>
    <t>Results</t>
  </si>
  <si>
    <r>
      <t xml:space="preserve">% losing </t>
    </r>
    <r>
      <rPr>
        <b/>
        <sz val="11"/>
        <rFont val="Arial"/>
        <family val="0"/>
      </rPr>
      <t>≥</t>
    </r>
    <r>
      <rPr>
        <b/>
        <sz val="11"/>
        <rFont val="Times New Roman"/>
        <family val="1"/>
      </rPr>
      <t>1.98 IQ pts</t>
    </r>
  </si>
  <si>
    <t>Population exposure data</t>
  </si>
  <si>
    <t>Calculations</t>
  </si>
  <si>
    <t>Input exposure data and convert blood or cord-blood levels to hair concentrations</t>
  </si>
  <si>
    <t>DALY calculation spreadsheet</t>
  </si>
  <si>
    <t>% losing ≥2 IQ pts</t>
  </si>
  <si>
    <t>*Note that the DALY estimate is based  on YLDs only since no years life lost (YLLs) are attributed to methyl mercury-induced IQ loss</t>
  </si>
  <si>
    <t>Mercury: Assessing the environmental burden of disease</t>
  </si>
  <si>
    <r>
      <t xml:space="preserve">3. The results include the proportion of infants losing </t>
    </r>
    <r>
      <rPr>
        <sz val="11"/>
        <rFont val="Arial"/>
        <family val="0"/>
      </rPr>
      <t>≥</t>
    </r>
    <r>
      <rPr>
        <sz val="11"/>
        <rFont val="Times New Roman"/>
        <family val="1"/>
      </rPr>
      <t>1.98 IQ points and the incidence of MMR</t>
    </r>
  </si>
  <si>
    <t>4. Enter the incidence of MMR and the number of infants born in the year of interest into the DALY calculation template to estimate DALYs</t>
  </si>
  <si>
    <r>
      <t>Input</t>
    </r>
    <r>
      <rPr>
        <sz val="11"/>
        <rFont val="Times New Roman"/>
        <family val="1"/>
      </rPr>
      <t>: sample size, mean, and standard deviation for the study population</t>
    </r>
  </si>
  <si>
    <t>Use the appropriate ratio to estimate hair concentration (programmed in the table below)</t>
  </si>
  <si>
    <r>
      <t>Output</t>
    </r>
    <r>
      <rPr>
        <sz val="11"/>
        <rFont val="Times New Roman"/>
        <family val="1"/>
      </rPr>
      <t xml:space="preserve">: Use the mean and standard deviation in </t>
    </r>
    <r>
      <rPr>
        <u val="single"/>
        <sz val="11"/>
        <rFont val="Times New Roman"/>
        <family val="1"/>
      </rPr>
      <t>hair</t>
    </r>
    <r>
      <rPr>
        <sz val="11"/>
        <rFont val="Times New Roman"/>
        <family val="1"/>
      </rPr>
      <t xml:space="preserve"> as input for the 'MMR IR' worksheet</t>
    </r>
  </si>
  <si>
    <r>
      <t>Input</t>
    </r>
    <r>
      <rPr>
        <sz val="11"/>
        <rFont val="Times New Roman"/>
        <family val="1"/>
      </rPr>
      <t xml:space="preserve"> population mean</t>
    </r>
  </si>
  <si>
    <r>
      <t>Input</t>
    </r>
    <r>
      <rPr>
        <sz val="11"/>
        <rFont val="Times New Roman"/>
        <family val="1"/>
      </rPr>
      <t xml:space="preserve"> population SD</t>
    </r>
  </si>
  <si>
    <r>
      <t>Output</t>
    </r>
    <r>
      <rPr>
        <sz val="11"/>
        <rFont val="Times New Roman"/>
        <family val="1"/>
      </rPr>
      <t>: percent of infant losing greater than ~2 IQ points</t>
    </r>
  </si>
  <si>
    <t>dietary intake:</t>
  </si>
  <si>
    <t>Dietary intake (ug/kg bw/day)</t>
  </si>
  <si>
    <t>Dietary intake model (WHO/IPCS, 2004):</t>
  </si>
  <si>
    <t xml:space="preserve">d = </t>
  </si>
  <si>
    <t>dose (μg/kg bw/day)</t>
  </si>
  <si>
    <t xml:space="preserve">C = </t>
  </si>
  <si>
    <t>concentration in blood (μg/L)</t>
  </si>
  <si>
    <t xml:space="preserve">b = </t>
  </si>
  <si>
    <t xml:space="preserve">v = </t>
  </si>
  <si>
    <t>blood volume (9% of bw - pregnant female)</t>
  </si>
  <si>
    <t xml:space="preserve">A = </t>
  </si>
  <si>
    <t>fraction of the dose absorbed (0.95)</t>
  </si>
  <si>
    <t xml:space="preserve">f = </t>
  </si>
  <si>
    <t>absorbed fraction distributed to blood (0.05)</t>
  </si>
  <si>
    <t>bw =</t>
  </si>
  <si>
    <t>body weight (65 kg for pregnant female)</t>
  </si>
  <si>
    <r>
      <t>where</t>
    </r>
    <r>
      <rPr>
        <sz val="11"/>
        <rFont val="Times New Roman"/>
        <family val="1"/>
      </rPr>
      <t>:</t>
    </r>
  </si>
  <si>
    <t>elimination rate constant (0.014 per day-1)</t>
  </si>
  <si>
    <t xml:space="preserve">C · b · v  </t>
  </si>
  <si>
    <t>A · f · bw</t>
  </si>
  <si>
    <t>d =</t>
  </si>
  <si>
    <t>hair (ug/g) = [(dietary intake (ug/kg bw/day) * 0.95 * 0.05 * 65) / (0.014 * 5.85)] / 1000 * 250</t>
  </si>
  <si>
    <t>1. If necessary, convert blood, cord-blood, or dietary intake measurements into hair concentrations using the 'Conversions' worksheet</t>
  </si>
  <si>
    <t>2. Enter the mean and standard deviation into the worksheet 'MMR IR'</t>
  </si>
  <si>
    <t>Note:  This spreadsheet is currently in draft form and is still being tested.</t>
  </si>
  <si>
    <t>The spreadsheet supposes a normal distribution of mercury hair concentration in the population, which may not always be the case.</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</si>
</sst>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000"/>
    <numFmt numFmtId="179" formatCode="0.000"/>
    <numFmt numFmtId="180" formatCode="0.00_)"/>
    <numFmt numFmtId="181" formatCode="0.0_)"/>
    <numFmt numFmtId="182" formatCode="_(* #,##0_);_(* \(#,##0\);_(* &quot;-&quot;??_);_(@_)"/>
    <numFmt numFmtId="183" formatCode="0.000_)"/>
    <numFmt numFmtId="184" formatCode="0_)"/>
    <numFmt numFmtId="185" formatCode="0.000000"/>
    <numFmt numFmtId="186" formatCode="0.00000"/>
    <numFmt numFmtId="187" formatCode="0.0000000"/>
    <numFmt numFmtId="188" formatCode="_(* #,##0.0_);_(* \(#,##0.0\);_(* &quot;-&quot;??_);_(@_)"/>
    <numFmt numFmtId="189" formatCode="0.0000_)"/>
    <numFmt numFmtId="190" formatCode="0.00000_)"/>
    <numFmt numFmtId="191" formatCode="_(* #,##0.000_);_(* \(#,##0.000\);_(* &quot;-&quot;??_);_(@_)"/>
    <numFmt numFmtId="192" formatCode="_(* #,##0.0000_);_(* \(#,##0.0000\);_(* &quot;-&quot;??_);_(@_)"/>
    <numFmt numFmtId="193" formatCode="_(* #,##0.00000_);_(* \(#,##0.00000\);_(* &quot;-&quot;??_);_(@_)"/>
    <numFmt numFmtId="194" formatCode="_(* #,##0.000000_);_(* \(#,##0.000000\);_(* &quot;-&quot;??_);_(@_)"/>
    <numFmt numFmtId="195" formatCode="_(* #,##0.0000000_);_(* \(#,##0.0000000\);_(* &quot;-&quot;??_);_(@_)"/>
    <numFmt numFmtId="196" formatCode="0.000%"/>
    <numFmt numFmtId="197" formatCode="0.0000%"/>
    <numFmt numFmtId="198" formatCode="#,##0;\ #,##0"/>
    <numFmt numFmtId="199" formatCode="#,##0.0;\-#,##0.0"/>
    <numFmt numFmtId="200" formatCode="_-* #,##0.0_-;\-* #,##0.0_-;_-* &quot;-&quot;??_-;_-@_-"/>
    <numFmt numFmtId="201" formatCode="_-* #,##0_-;\-* #,##0_-;_-* &quot;-&quot;??_-;_-@_-"/>
    <numFmt numFmtId="202" formatCode="0.00000000000000"/>
    <numFmt numFmtId="203" formatCode="0.0000000000000"/>
    <numFmt numFmtId="204" formatCode="0.000000000000"/>
    <numFmt numFmtId="205" formatCode="0.000000000000000"/>
    <numFmt numFmtId="206" formatCode="0.00000000000"/>
    <numFmt numFmtId="207" formatCode="0.0000000000"/>
    <numFmt numFmtId="208" formatCode="0.000000000"/>
    <numFmt numFmtId="209" formatCode="0.00000000"/>
    <numFmt numFmtId="210" formatCode="_-* #,##0.000_-;\-* #,##0.000_-;_-* &quot;-&quot;???_-;_-@_-"/>
    <numFmt numFmtId="211" formatCode="_-* #,##0.000_-;\-* #,##0.000_-;_-* &quot;-&quot;??_-;_-@_-"/>
    <numFmt numFmtId="212" formatCode="0.000000_)"/>
    <numFmt numFmtId="213" formatCode="#,##0.0_);\(#,##0.0\)"/>
  </numFmts>
  <fonts count="23">
    <font>
      <sz val="10"/>
      <name val="Arial"/>
      <family val="0"/>
    </font>
    <font>
      <sz val="11"/>
      <name val="Times New Roman"/>
      <family val="1"/>
    </font>
    <font>
      <sz val="8"/>
      <name val="Arial"/>
      <family val="0"/>
    </font>
    <font>
      <b/>
      <sz val="11"/>
      <name val="Times New Roman"/>
      <family val="1"/>
    </font>
    <font>
      <u val="single"/>
      <sz val="10"/>
      <color indexed="12"/>
      <name val="Arial"/>
      <family val="0"/>
    </font>
    <font>
      <u val="single"/>
      <sz val="10"/>
      <color indexed="36"/>
      <name val="Arial"/>
      <family val="0"/>
    </font>
    <font>
      <u val="single"/>
      <sz val="11"/>
      <name val="Times New Roman"/>
      <family val="1"/>
    </font>
    <font>
      <b/>
      <sz val="14"/>
      <name val="Times New Roman"/>
      <family val="1"/>
    </font>
    <font>
      <sz val="10"/>
      <name val="Times New Roman"/>
      <family val="1"/>
    </font>
    <font>
      <sz val="12"/>
      <name val="Arial"/>
      <family val="2"/>
    </font>
    <font>
      <b/>
      <sz val="12"/>
      <name val="Arial MT"/>
      <family val="0"/>
    </font>
    <font>
      <sz val="12"/>
      <name val="Arial MT"/>
      <family val="0"/>
    </font>
    <font>
      <u val="single"/>
      <sz val="12"/>
      <name val="Arial"/>
      <family val="2"/>
    </font>
    <font>
      <sz val="1.5"/>
      <name val="Arial"/>
      <family val="2"/>
    </font>
    <font>
      <b/>
      <i/>
      <sz val="11"/>
      <name val="Times New Roman"/>
      <family val="1"/>
    </font>
    <font>
      <sz val="11"/>
      <name val="Times"/>
      <family val="1"/>
    </font>
    <font>
      <b/>
      <sz val="11"/>
      <name val="Arial"/>
      <family val="0"/>
    </font>
    <font>
      <sz val="11"/>
      <name val="Arial"/>
      <family val="0"/>
    </font>
    <font>
      <i/>
      <sz val="11"/>
      <name val="Times New Roman"/>
      <family val="1"/>
    </font>
    <font>
      <sz val="11"/>
      <color indexed="53"/>
      <name val="Times New Roman"/>
      <family val="1"/>
    </font>
    <font>
      <sz val="8"/>
      <name val="Tahoma"/>
      <family val="0"/>
    </font>
    <font>
      <b/>
      <sz val="8"/>
      <name val="Tahoma"/>
      <family val="0"/>
    </font>
    <font>
      <b/>
      <sz val="8"/>
      <name val="Arial"/>
      <family val="2"/>
    </font>
  </fonts>
  <fills count="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color indexed="8"/>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style="thin">
        <color indexed="22"/>
      </botto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3" fillId="0" borderId="0" xfId="0" applyFont="1" applyBorder="1" applyAlignment="1">
      <alignment/>
    </xf>
    <xf numFmtId="0" fontId="1" fillId="0" borderId="0" xfId="0" applyFont="1" applyBorder="1" applyAlignment="1">
      <alignment/>
    </xf>
    <xf numFmtId="2" fontId="1" fillId="0" borderId="0" xfId="0" applyNumberFormat="1" applyFont="1" applyAlignment="1">
      <alignment/>
    </xf>
    <xf numFmtId="0" fontId="1" fillId="0" borderId="0" xfId="0" applyFont="1" applyAlignment="1">
      <alignment/>
    </xf>
    <xf numFmtId="0" fontId="1" fillId="0" borderId="0" xfId="0" applyFont="1" applyFill="1" applyBorder="1" applyAlignment="1">
      <alignment/>
    </xf>
    <xf numFmtId="0" fontId="1" fillId="2" borderId="1" xfId="0" applyFont="1" applyFill="1" applyBorder="1" applyAlignment="1">
      <alignment/>
    </xf>
    <xf numFmtId="0" fontId="1" fillId="0" borderId="0" xfId="0" applyFont="1" applyBorder="1" applyAlignment="1">
      <alignment horizontal="left"/>
    </xf>
    <xf numFmtId="0" fontId="1" fillId="0" borderId="2" xfId="0" applyFont="1" applyFill="1" applyBorder="1" applyAlignment="1">
      <alignment/>
    </xf>
    <xf numFmtId="0" fontId="3" fillId="0" borderId="2" xfId="0" applyFont="1" applyFill="1" applyBorder="1" applyAlignment="1">
      <alignment/>
    </xf>
    <xf numFmtId="2" fontId="1" fillId="0" borderId="2" xfId="0" applyNumberFormat="1" applyFont="1" applyFill="1" applyBorder="1" applyAlignment="1">
      <alignment/>
    </xf>
    <xf numFmtId="0" fontId="3" fillId="0" borderId="0" xfId="0" applyFont="1" applyFill="1" applyBorder="1" applyAlignment="1">
      <alignment horizontal="right"/>
    </xf>
    <xf numFmtId="0" fontId="3" fillId="3" borderId="3" xfId="0" applyFont="1" applyFill="1" applyBorder="1" applyAlignment="1">
      <alignment horizontal="center"/>
    </xf>
    <xf numFmtId="0" fontId="3" fillId="3" borderId="4" xfId="0" applyFont="1" applyFill="1" applyBorder="1" applyAlignment="1">
      <alignment/>
    </xf>
    <xf numFmtId="0" fontId="1" fillId="4" borderId="1" xfId="0" applyFont="1" applyFill="1" applyBorder="1" applyAlignment="1">
      <alignment/>
    </xf>
    <xf numFmtId="0" fontId="3" fillId="3" borderId="5" xfId="0" applyFont="1" applyFill="1" applyBorder="1" applyAlignment="1">
      <alignment horizontal="center"/>
    </xf>
    <xf numFmtId="178" fontId="1" fillId="0" borderId="2" xfId="0" applyNumberFormat="1" applyFont="1" applyFill="1" applyBorder="1" applyAlignment="1">
      <alignment horizontal="center"/>
    </xf>
    <xf numFmtId="0" fontId="7" fillId="3" borderId="0" xfId="0" applyFont="1" applyFill="1" applyAlignment="1">
      <alignment vertical="center"/>
    </xf>
    <xf numFmtId="0" fontId="8" fillId="3" borderId="0" xfId="0" applyFont="1" applyFill="1" applyAlignment="1">
      <alignment/>
    </xf>
    <xf numFmtId="0" fontId="8" fillId="0" borderId="0" xfId="0" applyFont="1" applyAlignment="1">
      <alignment/>
    </xf>
    <xf numFmtId="0" fontId="3" fillId="0" borderId="0" xfId="0" applyFont="1" applyAlignment="1">
      <alignment/>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center"/>
    </xf>
    <xf numFmtId="9" fontId="1" fillId="0" borderId="0" xfId="21" applyFont="1" applyAlignment="1" applyProtection="1">
      <alignment horizontal="center"/>
      <protection/>
    </xf>
    <xf numFmtId="181" fontId="1" fillId="0" borderId="0" xfId="0" applyNumberFormat="1" applyFont="1" applyAlignment="1" applyProtection="1">
      <alignment horizontal="center"/>
      <protection/>
    </xf>
    <xf numFmtId="0" fontId="1" fillId="0" borderId="0" xfId="0" applyFont="1" applyFill="1" applyBorder="1" applyAlignment="1">
      <alignment horizontal="left"/>
    </xf>
    <xf numFmtId="0" fontId="3" fillId="2" borderId="6" xfId="0" applyFont="1" applyFill="1" applyBorder="1" applyAlignment="1">
      <alignment horizontal="center"/>
    </xf>
    <xf numFmtId="0" fontId="1" fillId="5" borderId="7" xfId="0" applyFont="1" applyFill="1" applyBorder="1" applyAlignment="1">
      <alignment/>
    </xf>
    <xf numFmtId="0" fontId="1" fillId="5" borderId="8" xfId="0" applyFont="1" applyFill="1" applyBorder="1" applyAlignment="1">
      <alignment horizontal="left"/>
    </xf>
    <xf numFmtId="0" fontId="1" fillId="5" borderId="9" xfId="0" applyFont="1" applyFill="1" applyBorder="1" applyAlignment="1">
      <alignment/>
    </xf>
    <xf numFmtId="0" fontId="1" fillId="5" borderId="10" xfId="0" applyFont="1" applyFill="1" applyBorder="1" applyAlignment="1">
      <alignment/>
    </xf>
    <xf numFmtId="0" fontId="1" fillId="5" borderId="0" xfId="0" applyFont="1" applyFill="1" applyBorder="1" applyAlignment="1">
      <alignment horizontal="left"/>
    </xf>
    <xf numFmtId="0" fontId="1" fillId="5" borderId="11" xfId="0" applyFont="1" applyFill="1" applyBorder="1" applyAlignment="1">
      <alignment/>
    </xf>
    <xf numFmtId="0" fontId="1" fillId="5" borderId="12" xfId="0" applyFont="1" applyFill="1" applyBorder="1" applyAlignment="1">
      <alignment/>
    </xf>
    <xf numFmtId="0" fontId="1" fillId="5" borderId="13" xfId="0" applyFont="1" applyFill="1" applyBorder="1" applyAlignment="1">
      <alignment horizontal="left"/>
    </xf>
    <xf numFmtId="0" fontId="1" fillId="5" borderId="14" xfId="0" applyFont="1" applyFill="1" applyBorder="1" applyAlignment="1">
      <alignment/>
    </xf>
    <xf numFmtId="0" fontId="3" fillId="0" borderId="10" xfId="0" applyFont="1" applyBorder="1" applyAlignment="1">
      <alignment horizontal="center"/>
    </xf>
    <xf numFmtId="0" fontId="3" fillId="2" borderId="0" xfId="0" applyFont="1" applyFill="1" applyBorder="1" applyAlignment="1">
      <alignment horizontal="center"/>
    </xf>
    <xf numFmtId="0" fontId="3" fillId="0" borderId="15" xfId="0" applyFont="1" applyBorder="1" applyAlignment="1">
      <alignment horizontal="center"/>
    </xf>
    <xf numFmtId="182" fontId="1" fillId="0" borderId="12" xfId="15" applyNumberFormat="1" applyFont="1" applyBorder="1" applyAlignment="1" applyProtection="1">
      <alignment/>
      <protection/>
    </xf>
    <xf numFmtId="182" fontId="1" fillId="2" borderId="13" xfId="15" applyNumberFormat="1" applyFont="1" applyFill="1" applyBorder="1" applyAlignment="1" applyProtection="1">
      <alignment/>
      <protection/>
    </xf>
    <xf numFmtId="188" fontId="1" fillId="6" borderId="14" xfId="15" applyNumberFormat="1" applyFont="1" applyFill="1" applyBorder="1" applyAlignment="1">
      <alignment/>
    </xf>
    <xf numFmtId="0" fontId="14" fillId="0" borderId="7" xfId="0" applyFont="1" applyBorder="1" applyAlignment="1">
      <alignment horizontal="left"/>
    </xf>
    <xf numFmtId="176" fontId="1" fillId="0" borderId="8" xfId="0" applyNumberFormat="1" applyFont="1" applyFill="1" applyBorder="1" applyAlignment="1">
      <alignment/>
    </xf>
    <xf numFmtId="176" fontId="1" fillId="0" borderId="8" xfId="0" applyNumberFormat="1" applyFont="1" applyFill="1" applyBorder="1" applyAlignment="1" applyProtection="1">
      <alignment/>
      <protection/>
    </xf>
    <xf numFmtId="179" fontId="1" fillId="0" borderId="8" xfId="0" applyNumberFormat="1" applyFont="1" applyFill="1" applyBorder="1" applyAlignment="1" applyProtection="1">
      <alignment horizontal="right"/>
      <protection/>
    </xf>
    <xf numFmtId="0" fontId="14" fillId="0" borderId="12" xfId="0" applyFont="1" applyBorder="1" applyAlignment="1">
      <alignment horizontal="left"/>
    </xf>
    <xf numFmtId="176" fontId="1" fillId="0" borderId="13" xfId="0" applyNumberFormat="1" applyFont="1" applyFill="1" applyBorder="1" applyAlignment="1">
      <alignment/>
    </xf>
    <xf numFmtId="176" fontId="1" fillId="0" borderId="13" xfId="0" applyNumberFormat="1" applyFont="1" applyFill="1" applyBorder="1" applyAlignment="1" applyProtection="1">
      <alignment/>
      <protection/>
    </xf>
    <xf numFmtId="179" fontId="1" fillId="0" borderId="13" xfId="0" applyNumberFormat="1" applyFont="1" applyFill="1" applyBorder="1" applyAlignment="1" applyProtection="1">
      <alignment horizontal="right"/>
      <protection/>
    </xf>
    <xf numFmtId="0" fontId="3" fillId="6" borderId="11" xfId="0" applyFont="1" applyFill="1" applyBorder="1" applyAlignment="1">
      <alignment horizontal="center"/>
    </xf>
    <xf numFmtId="3" fontId="3" fillId="6" borderId="14" xfId="0" applyNumberFormat="1" applyFont="1" applyFill="1" applyBorder="1" applyAlignment="1">
      <alignment horizontal="center"/>
    </xf>
    <xf numFmtId="0" fontId="3" fillId="6" borderId="0" xfId="0" applyFont="1" applyFill="1" applyBorder="1" applyAlignment="1">
      <alignment horizontal="center"/>
    </xf>
    <xf numFmtId="3" fontId="3" fillId="6" borderId="13" xfId="0" applyNumberFormat="1" applyFont="1" applyFill="1" applyBorder="1" applyAlignment="1">
      <alignment horizontal="center"/>
    </xf>
    <xf numFmtId="188" fontId="1" fillId="6" borderId="13" xfId="15" applyNumberFormat="1" applyFont="1" applyFill="1" applyBorder="1" applyAlignment="1">
      <alignment/>
    </xf>
    <xf numFmtId="0" fontId="3" fillId="0" borderId="16" xfId="0" applyFont="1" applyBorder="1" applyAlignment="1">
      <alignment horizontal="center"/>
    </xf>
    <xf numFmtId="0" fontId="3" fillId="6" borderId="17" xfId="0" applyFont="1" applyFill="1" applyBorder="1" applyAlignment="1">
      <alignment horizontal="center"/>
    </xf>
    <xf numFmtId="0" fontId="3" fillId="0" borderId="18" xfId="0" applyFont="1" applyBorder="1" applyAlignment="1">
      <alignment horizontal="center"/>
    </xf>
    <xf numFmtId="3" fontId="3" fillId="6" borderId="19" xfId="0" applyNumberFormat="1" applyFont="1" applyFill="1" applyBorder="1" applyAlignment="1">
      <alignment horizontal="center"/>
    </xf>
    <xf numFmtId="182" fontId="1" fillId="0" borderId="8" xfId="15" applyNumberFormat="1" applyFont="1" applyFill="1" applyBorder="1" applyAlignment="1" applyProtection="1">
      <alignment/>
      <protection/>
    </xf>
    <xf numFmtId="2" fontId="1" fillId="0" borderId="8" xfId="0" applyNumberFormat="1" applyFont="1" applyFill="1" applyBorder="1" applyAlignment="1">
      <alignment horizontal="right"/>
    </xf>
    <xf numFmtId="182" fontId="1" fillId="0" borderId="13" xfId="15" applyNumberFormat="1" applyFont="1" applyFill="1" applyBorder="1" applyAlignment="1" applyProtection="1">
      <alignment/>
      <protection/>
    </xf>
    <xf numFmtId="2" fontId="1" fillId="0" borderId="13" xfId="0" applyNumberFormat="1" applyFont="1" applyFill="1" applyBorder="1" applyAlignment="1">
      <alignment horizontal="right"/>
    </xf>
    <xf numFmtId="182" fontId="1" fillId="0" borderId="20" xfId="15" applyNumberFormat="1" applyFont="1" applyFill="1" applyBorder="1" applyAlignment="1" applyProtection="1">
      <alignment/>
      <protection/>
    </xf>
    <xf numFmtId="176" fontId="1" fillId="0" borderId="21" xfId="0" applyNumberFormat="1" applyFont="1" applyFill="1" applyBorder="1" applyAlignment="1">
      <alignment/>
    </xf>
    <xf numFmtId="182" fontId="1" fillId="0" borderId="22" xfId="15" applyNumberFormat="1" applyFont="1" applyFill="1" applyBorder="1" applyAlignment="1" applyProtection="1">
      <alignment/>
      <protection/>
    </xf>
    <xf numFmtId="176" fontId="1" fillId="0" borderId="23" xfId="0" applyNumberFormat="1" applyFont="1" applyFill="1" applyBorder="1" applyAlignment="1">
      <alignment/>
    </xf>
    <xf numFmtId="3" fontId="3" fillId="4" borderId="24" xfId="0" applyNumberFormat="1" applyFont="1" applyFill="1" applyBorder="1" applyAlignment="1">
      <alignment/>
    </xf>
    <xf numFmtId="2" fontId="1" fillId="0" borderId="2" xfId="0" applyNumberFormat="1" applyFont="1" applyFill="1" applyBorder="1" applyAlignment="1">
      <alignment horizontal="left"/>
    </xf>
    <xf numFmtId="213" fontId="1" fillId="0" borderId="8" xfId="0" applyNumberFormat="1" applyFont="1" applyFill="1" applyBorder="1" applyAlignment="1" applyProtection="1">
      <alignment/>
      <protection/>
    </xf>
    <xf numFmtId="213" fontId="1" fillId="0" borderId="13" xfId="0" applyNumberFormat="1" applyFont="1" applyFill="1" applyBorder="1" applyAlignment="1" applyProtection="1">
      <alignment/>
      <protection/>
    </xf>
    <xf numFmtId="2" fontId="3" fillId="0" borderId="2" xfId="0" applyNumberFormat="1" applyFont="1" applyFill="1" applyBorder="1" applyAlignment="1">
      <alignment horizontal="center"/>
    </xf>
    <xf numFmtId="2" fontId="3" fillId="0" borderId="2" xfId="0" applyNumberFormat="1" applyFont="1" applyFill="1" applyBorder="1" applyAlignment="1">
      <alignment/>
    </xf>
    <xf numFmtId="176" fontId="1" fillId="0" borderId="2" xfId="0" applyNumberFormat="1" applyFont="1" applyFill="1" applyBorder="1" applyAlignment="1">
      <alignment/>
    </xf>
    <xf numFmtId="0" fontId="3" fillId="0" borderId="2" xfId="0" applyFont="1" applyFill="1" applyBorder="1" applyAlignment="1">
      <alignment horizontal="center" vertical="center"/>
    </xf>
    <xf numFmtId="179" fontId="1" fillId="0" borderId="2" xfId="0" applyNumberFormat="1" applyFont="1" applyFill="1" applyBorder="1" applyAlignment="1">
      <alignment/>
    </xf>
    <xf numFmtId="10" fontId="1" fillId="0" borderId="2" xfId="0" applyNumberFormat="1" applyFont="1" applyFill="1" applyBorder="1" applyAlignment="1">
      <alignment/>
    </xf>
    <xf numFmtId="0" fontId="3" fillId="0" borderId="2" xfId="0" applyFont="1" applyFill="1" applyBorder="1" applyAlignment="1">
      <alignment horizontal="center"/>
    </xf>
    <xf numFmtId="2" fontId="3" fillId="0" borderId="2" xfId="0" applyNumberFormat="1" applyFont="1" applyFill="1" applyBorder="1" applyAlignment="1">
      <alignment horizontal="right"/>
    </xf>
    <xf numFmtId="0" fontId="3" fillId="0" borderId="2" xfId="0" applyFont="1" applyFill="1" applyBorder="1" applyAlignment="1">
      <alignment horizontal="left"/>
    </xf>
    <xf numFmtId="2" fontId="3" fillId="4" borderId="2" xfId="0" applyNumberFormat="1" applyFont="1" applyFill="1" applyBorder="1" applyAlignment="1">
      <alignment horizontal="center"/>
    </xf>
    <xf numFmtId="2" fontId="3" fillId="2" borderId="2" xfId="0" applyNumberFormat="1" applyFont="1" applyFill="1" applyBorder="1" applyAlignment="1">
      <alignment horizontal="center"/>
    </xf>
    <xf numFmtId="0" fontId="3" fillId="0" borderId="25" xfId="0" applyFont="1" applyFill="1" applyBorder="1" applyAlignment="1">
      <alignment horizontal="left"/>
    </xf>
    <xf numFmtId="2" fontId="3" fillId="0" borderId="25" xfId="0" applyNumberFormat="1"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10" fontId="1" fillId="0" borderId="28" xfId="0" applyNumberFormat="1" applyFont="1" applyFill="1" applyBorder="1" applyAlignment="1">
      <alignment/>
    </xf>
    <xf numFmtId="10" fontId="1" fillId="0" borderId="29" xfId="0" applyNumberFormat="1" applyFont="1" applyFill="1" applyBorder="1" applyAlignment="1">
      <alignment/>
    </xf>
    <xf numFmtId="0" fontId="3" fillId="3" borderId="2" xfId="0" applyFont="1" applyFill="1" applyBorder="1" applyAlignment="1">
      <alignment/>
    </xf>
    <xf numFmtId="0" fontId="3" fillId="3" borderId="2" xfId="0" applyFont="1" applyFill="1" applyBorder="1" applyAlignment="1">
      <alignment horizontal="center" vertical="center"/>
    </xf>
    <xf numFmtId="0" fontId="3" fillId="3" borderId="2" xfId="0" applyFont="1" applyFill="1" applyBorder="1" applyAlignment="1">
      <alignment vertical="center"/>
    </xf>
    <xf numFmtId="0" fontId="1" fillId="0" borderId="2" xfId="0" applyFont="1" applyFill="1" applyBorder="1" applyAlignment="1">
      <alignment horizontal="left" vertical="center"/>
    </xf>
    <xf numFmtId="0" fontId="1" fillId="0" borderId="2" xfId="0" applyFont="1" applyFill="1" applyBorder="1" applyAlignment="1">
      <alignment horizontal="left"/>
    </xf>
    <xf numFmtId="49" fontId="1" fillId="0" borderId="0" xfId="0" applyNumberFormat="1" applyFont="1" applyAlignment="1">
      <alignment horizontal="left"/>
    </xf>
    <xf numFmtId="49" fontId="1" fillId="0" borderId="30" xfId="0" applyNumberFormat="1" applyFont="1" applyFill="1" applyBorder="1" applyAlignment="1">
      <alignment horizontal="left"/>
    </xf>
    <xf numFmtId="179" fontId="1" fillId="0" borderId="2" xfId="0" applyNumberFormat="1" applyFont="1" applyFill="1" applyBorder="1" applyAlignment="1">
      <alignment horizontal="left"/>
    </xf>
    <xf numFmtId="176" fontId="1" fillId="0" borderId="2" xfId="0" applyNumberFormat="1" applyFont="1" applyFill="1" applyBorder="1" applyAlignment="1">
      <alignment horizontal="left"/>
    </xf>
    <xf numFmtId="178" fontId="1" fillId="0" borderId="2" xfId="0" applyNumberFormat="1" applyFont="1" applyFill="1" applyBorder="1" applyAlignment="1">
      <alignment/>
    </xf>
    <xf numFmtId="2" fontId="1" fillId="0" borderId="0" xfId="0" applyNumberFormat="1" applyFont="1" applyAlignment="1">
      <alignment horizontal="left"/>
    </xf>
    <xf numFmtId="2" fontId="15" fillId="0" borderId="0" xfId="0" applyNumberFormat="1" applyFont="1" applyAlignment="1">
      <alignment horizontal="left"/>
    </xf>
    <xf numFmtId="178" fontId="1" fillId="0" borderId="2" xfId="0" applyNumberFormat="1" applyFont="1" applyFill="1" applyBorder="1" applyAlignment="1">
      <alignment horizontal="right"/>
    </xf>
    <xf numFmtId="0" fontId="3" fillId="0" borderId="0" xfId="0" applyFont="1" applyBorder="1" applyAlignment="1">
      <alignment horizontal="right"/>
    </xf>
    <xf numFmtId="0" fontId="14" fillId="0" borderId="0" xfId="0" applyFont="1" applyBorder="1" applyAlignment="1">
      <alignment horizontal="left"/>
    </xf>
    <xf numFmtId="182" fontId="1" fillId="0" borderId="0" xfId="15" applyNumberFormat="1" applyFont="1" applyFill="1" applyBorder="1" applyAlignment="1" applyProtection="1">
      <alignment/>
      <protection/>
    </xf>
    <xf numFmtId="213" fontId="1" fillId="0" borderId="0" xfId="0" applyNumberFormat="1" applyFont="1" applyFill="1" applyBorder="1" applyAlignment="1" applyProtection="1">
      <alignment/>
      <protection/>
    </xf>
    <xf numFmtId="2" fontId="1" fillId="0" borderId="0" xfId="0" applyNumberFormat="1" applyFont="1" applyFill="1" applyBorder="1" applyAlignment="1">
      <alignment horizontal="right"/>
    </xf>
    <xf numFmtId="176" fontId="1" fillId="0" borderId="0" xfId="0" applyNumberFormat="1" applyFont="1" applyFill="1" applyBorder="1" applyAlignment="1">
      <alignment/>
    </xf>
    <xf numFmtId="176" fontId="1" fillId="0" borderId="0" xfId="0" applyNumberFormat="1" applyFont="1" applyFill="1" applyBorder="1" applyAlignment="1" applyProtection="1">
      <alignment/>
      <protection/>
    </xf>
    <xf numFmtId="179" fontId="1" fillId="0" borderId="0" xfId="0" applyNumberFormat="1" applyFont="1" applyFill="1" applyBorder="1" applyAlignment="1" applyProtection="1">
      <alignment horizontal="right"/>
      <protection/>
    </xf>
    <xf numFmtId="182" fontId="1" fillId="0" borderId="0" xfId="15" applyNumberFormat="1" applyFont="1" applyFill="1" applyBorder="1" applyAlignment="1" applyProtection="1">
      <alignment/>
      <protection/>
    </xf>
    <xf numFmtId="182" fontId="3" fillId="0" borderId="22" xfId="15" applyNumberFormat="1" applyFont="1" applyBorder="1" applyAlignment="1" applyProtection="1">
      <alignment/>
      <protection/>
    </xf>
    <xf numFmtId="182" fontId="3" fillId="2" borderId="31" xfId="15" applyNumberFormat="1" applyFont="1" applyFill="1" applyBorder="1" applyAlignment="1" applyProtection="1">
      <alignment/>
      <protection/>
    </xf>
    <xf numFmtId="188" fontId="3" fillId="6" borderId="23" xfId="15" applyNumberFormat="1" applyFont="1" applyFill="1" applyBorder="1" applyAlignment="1">
      <alignment/>
    </xf>
    <xf numFmtId="0" fontId="1" fillId="3" borderId="0" xfId="0" applyFont="1" applyFill="1" applyBorder="1" applyAlignment="1">
      <alignment/>
    </xf>
    <xf numFmtId="0" fontId="3" fillId="3" borderId="0" xfId="0" applyFont="1" applyFill="1" applyBorder="1" applyAlignment="1">
      <alignment/>
    </xf>
    <xf numFmtId="2" fontId="3" fillId="4" borderId="32" xfId="0" applyNumberFormat="1" applyFont="1" applyFill="1" applyBorder="1" applyAlignment="1">
      <alignment/>
    </xf>
    <xf numFmtId="0" fontId="3" fillId="0" borderId="2" xfId="0" applyFont="1" applyFill="1" applyBorder="1" applyAlignment="1">
      <alignment horizontal="right"/>
    </xf>
    <xf numFmtId="2" fontId="3" fillId="3" borderId="2" xfId="0" applyNumberFormat="1" applyFont="1" applyFill="1" applyBorder="1" applyAlignment="1">
      <alignment horizontal="center"/>
    </xf>
    <xf numFmtId="0" fontId="3" fillId="3" borderId="2" xfId="0" applyFont="1" applyFill="1" applyBorder="1" applyAlignment="1">
      <alignment horizontal="left"/>
    </xf>
    <xf numFmtId="2" fontId="3" fillId="7" borderId="2" xfId="0" applyNumberFormat="1" applyFont="1" applyFill="1" applyBorder="1" applyAlignment="1">
      <alignment horizontal="center"/>
    </xf>
    <xf numFmtId="0" fontId="3" fillId="3" borderId="0" xfId="0" applyFont="1" applyFill="1" applyAlignment="1">
      <alignment/>
    </xf>
    <xf numFmtId="0" fontId="1" fillId="3" borderId="0" xfId="0" applyFont="1" applyFill="1" applyAlignment="1">
      <alignment/>
    </xf>
    <xf numFmtId="0" fontId="1" fillId="3" borderId="0" xfId="0" applyFont="1" applyFill="1" applyBorder="1" applyAlignment="1">
      <alignment horizontal="left"/>
    </xf>
    <xf numFmtId="0" fontId="1" fillId="3" borderId="0" xfId="0" applyFont="1" applyFill="1" applyAlignment="1">
      <alignment/>
    </xf>
    <xf numFmtId="0" fontId="3" fillId="5" borderId="7" xfId="0" applyFont="1" applyFill="1" applyBorder="1" applyAlignment="1">
      <alignment horizontal="center"/>
    </xf>
    <xf numFmtId="0" fontId="3" fillId="5" borderId="8" xfId="0" applyFont="1" applyFill="1" applyBorder="1" applyAlignment="1">
      <alignment horizontal="center"/>
    </xf>
    <xf numFmtId="180" fontId="3" fillId="5" borderId="8" xfId="0" applyNumberFormat="1" applyFont="1" applyFill="1" applyBorder="1" applyAlignment="1" applyProtection="1">
      <alignment horizontal="center"/>
      <protection/>
    </xf>
    <xf numFmtId="181" fontId="3" fillId="5" borderId="8" xfId="0" applyNumberFormat="1" applyFont="1" applyFill="1" applyBorder="1" applyAlignment="1" applyProtection="1">
      <alignment horizontal="center"/>
      <protection/>
    </xf>
    <xf numFmtId="0" fontId="3" fillId="5" borderId="33" xfId="0" applyFont="1" applyFill="1" applyBorder="1" applyAlignment="1">
      <alignment horizontal="center"/>
    </xf>
    <xf numFmtId="0" fontId="3" fillId="5" borderId="34" xfId="0" applyFont="1" applyFill="1" applyBorder="1" applyAlignment="1">
      <alignment horizontal="center"/>
    </xf>
    <xf numFmtId="0" fontId="1" fillId="5" borderId="12" xfId="0" applyFont="1" applyFill="1" applyBorder="1" applyAlignment="1">
      <alignment/>
    </xf>
    <xf numFmtId="0" fontId="3" fillId="5" borderId="13" xfId="0" applyFont="1" applyFill="1" applyBorder="1" applyAlignment="1">
      <alignment horizontal="center"/>
    </xf>
    <xf numFmtId="180" fontId="3" fillId="5" borderId="13" xfId="0" applyNumberFormat="1" applyFont="1" applyFill="1" applyBorder="1" applyAlignment="1" applyProtection="1">
      <alignment horizontal="center"/>
      <protection/>
    </xf>
    <xf numFmtId="181" fontId="3" fillId="5" borderId="13" xfId="0" applyNumberFormat="1" applyFont="1" applyFill="1" applyBorder="1" applyAlignment="1" applyProtection="1">
      <alignment horizontal="center"/>
      <protection/>
    </xf>
    <xf numFmtId="0" fontId="3" fillId="5" borderId="35" xfId="0" applyFont="1" applyFill="1" applyBorder="1" applyAlignment="1">
      <alignment horizontal="center"/>
    </xf>
    <xf numFmtId="3" fontId="3" fillId="5" borderId="19" xfId="0" applyNumberFormat="1" applyFont="1" applyFill="1" applyBorder="1" applyAlignment="1">
      <alignment horizontal="center"/>
    </xf>
    <xf numFmtId="0" fontId="3" fillId="5" borderId="2" xfId="0" applyFont="1" applyFill="1" applyBorder="1" applyAlignment="1">
      <alignment/>
    </xf>
    <xf numFmtId="2" fontId="3" fillId="5" borderId="2" xfId="0" applyNumberFormat="1" applyFont="1" applyFill="1" applyBorder="1" applyAlignment="1">
      <alignment/>
    </xf>
    <xf numFmtId="0" fontId="3" fillId="5" borderId="30" xfId="0" applyFont="1" applyFill="1" applyBorder="1" applyAlignment="1">
      <alignment/>
    </xf>
    <xf numFmtId="0" fontId="3" fillId="5" borderId="2" xfId="0" applyFont="1" applyFill="1" applyBorder="1" applyAlignment="1">
      <alignment horizontal="center" vertical="center"/>
    </xf>
    <xf numFmtId="0" fontId="1" fillId="3" borderId="2" xfId="0" applyFont="1" applyFill="1" applyBorder="1" applyAlignment="1">
      <alignment/>
    </xf>
    <xf numFmtId="0" fontId="1" fillId="0" borderId="25" xfId="0" applyFont="1" applyFill="1" applyBorder="1" applyAlignment="1">
      <alignment/>
    </xf>
    <xf numFmtId="0" fontId="3" fillId="3" borderId="25" xfId="0" applyFont="1" applyFill="1" applyBorder="1" applyAlignment="1">
      <alignment horizontal="left"/>
    </xf>
    <xf numFmtId="2" fontId="3" fillId="3" borderId="25" xfId="0" applyNumberFormat="1" applyFont="1" applyFill="1" applyBorder="1" applyAlignment="1">
      <alignment horizontal="center"/>
    </xf>
    <xf numFmtId="0" fontId="3" fillId="3" borderId="0" xfId="0" applyFont="1" applyFill="1" applyAlignment="1">
      <alignment horizontal="center"/>
    </xf>
    <xf numFmtId="0" fontId="1" fillId="4" borderId="0" xfId="0" applyFont="1" applyFill="1" applyAlignment="1">
      <alignment/>
    </xf>
    <xf numFmtId="2" fontId="1" fillId="2" borderId="0" xfId="0" applyNumberFormat="1" applyFont="1" applyFill="1" applyAlignment="1">
      <alignment horizontal="right"/>
    </xf>
    <xf numFmtId="2" fontId="1" fillId="2" borderId="0" xfId="0" applyNumberFormat="1" applyFont="1" applyFill="1" applyAlignment="1">
      <alignment/>
    </xf>
    <xf numFmtId="0" fontId="1" fillId="0" borderId="10" xfId="0" applyFont="1" applyFill="1" applyBorder="1" applyAlignment="1">
      <alignment vertical="top" readingOrder="1"/>
    </xf>
    <xf numFmtId="2" fontId="3" fillId="0" borderId="2" xfId="0" applyNumberFormat="1" applyFont="1" applyFill="1" applyBorder="1" applyAlignment="1">
      <alignment horizontal="left"/>
    </xf>
    <xf numFmtId="0" fontId="1" fillId="0" borderId="0" xfId="0" applyFont="1" applyBorder="1" applyAlignment="1">
      <alignment horizontal="right"/>
    </xf>
    <xf numFmtId="0" fontId="1" fillId="0" borderId="12" xfId="0" applyFont="1" applyBorder="1" applyAlignment="1">
      <alignment horizontal="left"/>
    </xf>
    <xf numFmtId="0" fontId="18" fillId="0" borderId="0" xfId="0" applyFont="1" applyAlignment="1">
      <alignment/>
    </xf>
    <xf numFmtId="0" fontId="17" fillId="0" borderId="0" xfId="0" applyFont="1" applyAlignment="1">
      <alignment/>
    </xf>
    <xf numFmtId="0" fontId="1" fillId="0" borderId="31" xfId="0" applyFont="1" applyBorder="1" applyAlignment="1">
      <alignment horizontal="center"/>
    </xf>
    <xf numFmtId="0" fontId="1" fillId="0" borderId="36" xfId="0" applyFont="1" applyBorder="1" applyAlignment="1">
      <alignment horizontal="center"/>
    </xf>
    <xf numFmtId="2" fontId="1" fillId="2" borderId="13" xfId="0" applyNumberFormat="1" applyFont="1" applyFill="1" applyBorder="1" applyAlignment="1">
      <alignment/>
    </xf>
    <xf numFmtId="2" fontId="1" fillId="2" borderId="14" xfId="0" applyNumberFormat="1" applyFont="1" applyFill="1" applyBorder="1" applyAlignment="1">
      <alignment/>
    </xf>
    <xf numFmtId="2" fontId="1" fillId="4" borderId="0" xfId="0" applyNumberFormat="1" applyFont="1" applyFill="1" applyBorder="1" applyAlignment="1">
      <alignment vertical="top" readingOrder="1"/>
    </xf>
    <xf numFmtId="2" fontId="1" fillId="2" borderId="0" xfId="0" applyNumberFormat="1" applyFont="1" applyFill="1" applyBorder="1" applyAlignment="1">
      <alignment/>
    </xf>
    <xf numFmtId="2" fontId="1" fillId="2" borderId="11" xfId="0" applyNumberFormat="1" applyFont="1" applyFill="1" applyBorder="1" applyAlignment="1">
      <alignment/>
    </xf>
    <xf numFmtId="2" fontId="1" fillId="4" borderId="13" xfId="0" applyNumberFormat="1" applyFont="1" applyFill="1" applyBorder="1" applyAlignment="1">
      <alignment vertical="top" readingOrder="1"/>
    </xf>
    <xf numFmtId="0" fontId="19" fillId="0" borderId="0" xfId="0" applyFont="1" applyAlignment="1">
      <alignment/>
    </xf>
    <xf numFmtId="11" fontId="1" fillId="0" borderId="0" xfId="0" applyNumberFormat="1" applyFont="1" applyBorder="1" applyAlignment="1">
      <alignment/>
    </xf>
    <xf numFmtId="0" fontId="14" fillId="5" borderId="4" xfId="0" applyFont="1" applyFill="1" applyBorder="1" applyAlignment="1">
      <alignment horizontal="center"/>
    </xf>
    <xf numFmtId="0" fontId="14" fillId="5" borderId="3" xfId="0" applyFont="1" applyFill="1" applyBorder="1" applyAlignment="1">
      <alignment horizontal="center"/>
    </xf>
    <xf numFmtId="0" fontId="14" fillId="5" borderId="5" xfId="0" applyFont="1" applyFill="1" applyBorder="1" applyAlignment="1">
      <alignment horizontal="center"/>
    </xf>
    <xf numFmtId="0" fontId="14" fillId="5" borderId="37" xfId="0" applyFont="1" applyFill="1" applyBorder="1" applyAlignment="1">
      <alignment horizontal="center"/>
    </xf>
    <xf numFmtId="0" fontId="14" fillId="5" borderId="38" xfId="0" applyFont="1" applyFill="1" applyBorder="1" applyAlignment="1">
      <alignment horizontal="center"/>
    </xf>
    <xf numFmtId="0" fontId="14" fillId="5" borderId="39"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3"/>
          <c:order val="0"/>
          <c:tx>
            <c:v>Male 2</c:v>
          </c:tx>
          <c:extLst>
            <c:ext xmlns:c14="http://schemas.microsoft.com/office/drawing/2007/8/2/chart" uri="{6F2FDCE9-48DA-4B69-8628-5D25D57E5C99}">
              <c14:invertSolidFillFmt>
                <c14:spPr>
                  <a:solidFill>
                    <a:srgbClr val="000000"/>
                  </a:solidFill>
                </c14:spPr>
              </c14:invertSolidFillFmt>
            </c:ext>
          </c:extLst>
          <c:cat>
            <c:strRef>
              <c:f>DALYs!#REF!</c:f>
              <c:strCache>
                <c:ptCount val="1"/>
                <c:pt idx="0">
                  <c:v>1</c:v>
                </c:pt>
              </c:strCache>
            </c:strRef>
          </c:cat>
          <c:val>
            <c:numRef>
              <c:f>DALYs!#REF!</c:f>
              <c:numCache>
                <c:ptCount val="1"/>
                <c:pt idx="0">
                  <c:v>1</c:v>
                </c:pt>
              </c:numCache>
            </c:numRef>
          </c:val>
          <c:smooth val="0"/>
        </c:ser>
        <c:ser>
          <c:idx val="0"/>
          <c:order val="1"/>
          <c:tx>
            <c:v>Male 1</c:v>
          </c:tx>
          <c:extLst>
            <c:ext xmlns:c14="http://schemas.microsoft.com/office/drawing/2007/8/2/chart" uri="{6F2FDCE9-48DA-4B69-8628-5D25D57E5C99}">
              <c14:invertSolidFillFmt>
                <c14:spPr>
                  <a:solidFill>
                    <a:srgbClr val="000000"/>
                  </a:solidFill>
                </c14:spPr>
              </c14:invertSolidFillFmt>
            </c:ext>
          </c:extLst>
          <c:cat>
            <c:strRef>
              <c:f>DALYs!#REF!</c:f>
              <c:strCache>
                <c:ptCount val="1"/>
                <c:pt idx="0">
                  <c:v>1</c:v>
                </c:pt>
              </c:strCache>
            </c:strRef>
          </c:cat>
          <c:val>
            <c:numRef>
              <c:f>DALYs!#REF!</c:f>
              <c:numCache>
                <c:ptCount val="1"/>
                <c:pt idx="0">
                  <c:v>1</c:v>
                </c:pt>
              </c:numCache>
            </c:numRef>
          </c:val>
          <c:smooth val="0"/>
        </c:ser>
        <c:ser>
          <c:idx val="1"/>
          <c:order val="2"/>
          <c:tx>
            <c:v>Female 2</c:v>
          </c:tx>
          <c:extLst>
            <c:ext xmlns:c14="http://schemas.microsoft.com/office/drawing/2007/8/2/chart" uri="{6F2FDCE9-48DA-4B69-8628-5D25D57E5C99}">
              <c14:invertSolidFillFmt>
                <c14:spPr>
                  <a:solidFill>
                    <a:srgbClr val="000000"/>
                  </a:solidFill>
                </c14:spPr>
              </c14:invertSolidFillFmt>
            </c:ext>
          </c:extLst>
          <c:cat>
            <c:strRef>
              <c:f>DALYs!#REF!</c:f>
              <c:strCache>
                <c:ptCount val="1"/>
                <c:pt idx="0">
                  <c:v>1</c:v>
                </c:pt>
              </c:strCache>
            </c:strRef>
          </c:cat>
          <c:val>
            <c:numRef>
              <c:f>DALYs!#REF!</c:f>
              <c:numCache>
                <c:ptCount val="1"/>
                <c:pt idx="0">
                  <c:v>1</c:v>
                </c:pt>
              </c:numCache>
            </c:numRef>
          </c:val>
          <c:smooth val="0"/>
        </c:ser>
        <c:ser>
          <c:idx val="2"/>
          <c:order val="3"/>
          <c:tx>
            <c:v>Female 1</c:v>
          </c:tx>
          <c:extLst>
            <c:ext xmlns:c14="http://schemas.microsoft.com/office/drawing/2007/8/2/chart" uri="{6F2FDCE9-48DA-4B69-8628-5D25D57E5C99}">
              <c14:invertSolidFillFmt>
                <c14:spPr>
                  <a:solidFill>
                    <a:srgbClr val="000000"/>
                  </a:solidFill>
                </c14:spPr>
              </c14:invertSolidFillFmt>
            </c:ext>
          </c:extLst>
          <c:cat>
            <c:strRef>
              <c:f>DALYs!#REF!</c:f>
              <c:strCache>
                <c:ptCount val="1"/>
                <c:pt idx="0">
                  <c:v>1</c:v>
                </c:pt>
              </c:strCache>
            </c:strRef>
          </c:cat>
          <c:val>
            <c:numRef>
              <c:f>DALYs!#REF!</c:f>
              <c:numCache>
                <c:ptCount val="1"/>
                <c:pt idx="0">
                  <c:v>1</c:v>
                </c:pt>
              </c:numCache>
            </c:numRef>
          </c:val>
          <c:smooth val="0"/>
        </c:ser>
        <c:marker val="1"/>
        <c:axId val="56899066"/>
        <c:axId val="42329547"/>
      </c:lineChart>
      <c:catAx>
        <c:axId val="56899066"/>
        <c:scaling>
          <c:orientation val="minMax"/>
        </c:scaling>
        <c:axPos val="b"/>
        <c:delete val="0"/>
        <c:numFmt formatCode="General" sourceLinked="1"/>
        <c:majorTickMark val="out"/>
        <c:minorTickMark val="none"/>
        <c:tickLblPos val="nextTo"/>
        <c:crossAx val="42329547"/>
        <c:crosses val="autoZero"/>
        <c:auto val="1"/>
        <c:lblOffset val="100"/>
        <c:noMultiLvlLbl val="0"/>
      </c:catAx>
      <c:valAx>
        <c:axId val="42329547"/>
        <c:scaling>
          <c:orientation val="minMax"/>
          <c:max val="2000"/>
        </c:scaling>
        <c:axPos val="l"/>
        <c:majorGridlines/>
        <c:delete val="0"/>
        <c:numFmt formatCode="General" sourceLinked="1"/>
        <c:majorTickMark val="out"/>
        <c:minorTickMark val="none"/>
        <c:tickLblPos val="nextTo"/>
        <c:crossAx val="5689906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3"/>
          <c:order val="0"/>
          <c:tx>
            <c:v>Male 2</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DALYs!#REF!</c:f>
              <c:strCache>
                <c:ptCount val="1"/>
                <c:pt idx="0">
                  <c:v>1</c:v>
                </c:pt>
              </c:strCache>
            </c:strRef>
          </c:cat>
          <c:val>
            <c:numRef>
              <c:f>DALYs!#REF!</c:f>
              <c:numCache>
                <c:ptCount val="1"/>
                <c:pt idx="0">
                  <c:v>1</c:v>
                </c:pt>
              </c:numCache>
            </c:numRef>
          </c:val>
          <c:smooth val="0"/>
        </c:ser>
        <c:ser>
          <c:idx val="0"/>
          <c:order val="1"/>
          <c:tx>
            <c:v>Male 1</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DALYs!#REF!</c:f>
              <c:strCache>
                <c:ptCount val="1"/>
                <c:pt idx="0">
                  <c:v>1</c:v>
                </c:pt>
              </c:strCache>
            </c:strRef>
          </c:cat>
          <c:val>
            <c:numRef>
              <c:f>DALYs!#REF!</c:f>
              <c:numCache>
                <c:ptCount val="1"/>
                <c:pt idx="0">
                  <c:v>1</c:v>
                </c:pt>
              </c:numCache>
            </c:numRef>
          </c:val>
          <c:smooth val="0"/>
        </c:ser>
        <c:ser>
          <c:idx val="1"/>
          <c:order val="2"/>
          <c:tx>
            <c:v>Female 2</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DALYs!#REF!</c:f>
              <c:strCache>
                <c:ptCount val="1"/>
                <c:pt idx="0">
                  <c:v>1</c:v>
                </c:pt>
              </c:strCache>
            </c:strRef>
          </c:cat>
          <c:val>
            <c:numRef>
              <c:f>DALYs!#REF!</c:f>
              <c:numCache>
                <c:ptCount val="1"/>
                <c:pt idx="0">
                  <c:v>1</c:v>
                </c:pt>
              </c:numCache>
            </c:numRef>
          </c:val>
          <c:smooth val="0"/>
        </c:ser>
        <c:ser>
          <c:idx val="2"/>
          <c:order val="3"/>
          <c:tx>
            <c:v>Female 1</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DALYs!#REF!</c:f>
              <c:strCache>
                <c:ptCount val="1"/>
                <c:pt idx="0">
                  <c:v>1</c:v>
                </c:pt>
              </c:strCache>
            </c:strRef>
          </c:cat>
          <c:val>
            <c:numRef>
              <c:f>DALYs!#REF!</c:f>
              <c:numCache>
                <c:ptCount val="1"/>
                <c:pt idx="0">
                  <c:v>1</c:v>
                </c:pt>
              </c:numCache>
            </c:numRef>
          </c:val>
          <c:smooth val="0"/>
        </c:ser>
        <c:marker val="1"/>
        <c:axId val="45421604"/>
        <c:axId val="6141253"/>
      </c:lineChart>
      <c:catAx>
        <c:axId val="45421604"/>
        <c:scaling>
          <c:orientation val="minMax"/>
        </c:scaling>
        <c:axPos val="b"/>
        <c:delete val="0"/>
        <c:numFmt formatCode="General" sourceLinked="1"/>
        <c:majorTickMark val="out"/>
        <c:minorTickMark val="none"/>
        <c:tickLblPos val="nextTo"/>
        <c:crossAx val="6141253"/>
        <c:crosses val="autoZero"/>
        <c:auto val="1"/>
        <c:lblOffset val="100"/>
        <c:noMultiLvlLbl val="0"/>
      </c:catAx>
      <c:valAx>
        <c:axId val="6141253"/>
        <c:scaling>
          <c:orientation val="minMax"/>
          <c:max val="2000"/>
        </c:scaling>
        <c:axPos val="l"/>
        <c:delete val="0"/>
        <c:numFmt formatCode="#,##0" sourceLinked="0"/>
        <c:majorTickMark val="out"/>
        <c:minorTickMark val="none"/>
        <c:tickLblPos val="nextTo"/>
        <c:crossAx val="45421604"/>
        <c:crossesAt val="1"/>
        <c:crossBetween val="between"/>
        <c:dispUnits/>
      </c:valAx>
      <c:spPr>
        <a:noFill/>
        <a:ln>
          <a:no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11</xdr:col>
      <xdr:colOff>619125</xdr:colOff>
      <xdr:row>0</xdr:row>
      <xdr:rowOff>0</xdr:rowOff>
    </xdr:to>
    <xdr:sp>
      <xdr:nvSpPr>
        <xdr:cNvPr id="1" name="Text 12"/>
        <xdr:cNvSpPr txBox="1">
          <a:spLocks noChangeArrowheads="1"/>
        </xdr:cNvSpPr>
      </xdr:nvSpPr>
      <xdr:spPr>
        <a:xfrm>
          <a:off x="409575" y="0"/>
          <a:ext cx="8848725" cy="0"/>
        </a:xfrm>
        <a:prstGeom prst="rect">
          <a:avLst/>
        </a:prstGeom>
        <a:solidFill>
          <a:srgbClr val="FFFFFF"/>
        </a:solidFill>
        <a:ln w="9525" cmpd="sng">
          <a:noFill/>
        </a:ln>
      </xdr:spPr>
      <xdr:txBody>
        <a:bodyPr vertOverflow="clip" wrap="square"/>
        <a:p>
          <a:pPr algn="l">
            <a:defRPr/>
          </a:pPr>
          <a:r>
            <a:rPr lang="en-US" cap="none" sz="1200" b="0" i="0" u="none" baseline="0"/>
            <a:t>5.   The hospital inpatient figures exclude those dying during admission. The Perth figures relate to all strokes. Assuming that most deaths in the first 28 days occur while hospitalised, the number of deaths in the first 28 days can be extrapolated from the recorded survivors of first stroke, for instance, in the &lt;75 age group,  where  the case fatality rate = 15%, we equate hospital episodes to 85% of incident strokes. Thus the adjusted number of early deaths = 100/85*15% of recorded survivors of first strokes. The proportional factors for each age and sex group have been determined as follows:</a:t>
          </a:r>
        </a:p>
      </xdr:txBody>
    </xdr:sp>
    <xdr:clientData/>
  </xdr:twoCellAnchor>
  <xdr:twoCellAnchor>
    <xdr:from>
      <xdr:col>1</xdr:col>
      <xdr:colOff>28575</xdr:colOff>
      <xdr:row>0</xdr:row>
      <xdr:rowOff>0</xdr:rowOff>
    </xdr:from>
    <xdr:to>
      <xdr:col>11</xdr:col>
      <xdr:colOff>619125</xdr:colOff>
      <xdr:row>0</xdr:row>
      <xdr:rowOff>0</xdr:rowOff>
    </xdr:to>
    <xdr:sp>
      <xdr:nvSpPr>
        <xdr:cNvPr id="2" name="Text 12"/>
        <xdr:cNvSpPr txBox="1">
          <a:spLocks noChangeArrowheads="1"/>
        </xdr:cNvSpPr>
      </xdr:nvSpPr>
      <xdr:spPr>
        <a:xfrm>
          <a:off x="409575" y="0"/>
          <a:ext cx="8848725" cy="0"/>
        </a:xfrm>
        <a:prstGeom prst="rect">
          <a:avLst/>
        </a:prstGeom>
        <a:solidFill>
          <a:srgbClr val="FFFFFF"/>
        </a:solidFill>
        <a:ln w="9525" cmpd="sng">
          <a:noFill/>
        </a:ln>
      </xdr:spPr>
      <xdr:txBody>
        <a:bodyPr vertOverflow="clip" wrap="square"/>
        <a:p>
          <a:pPr algn="l">
            <a:defRPr/>
          </a:pPr>
          <a:r>
            <a:rPr lang="en-US" cap="none" sz="1200" b="0" i="0" u="none" baseline="0"/>
            <a:t>7.   The graph below compares incidence rates for first-ever stroke calculated from the 1996 hospitalisation data (series 1) with the incidence rates calculated by direct extrapolation of those observed in Perth in 1990 (series 2). The two sets of rates are almost identical for males (the inflation factor of 44% at step 3 above was chosen to give a good match for all ages). Use of the same factor for females gives a slightly higher incidence rate in age group 75+ based on the hospitalisation data (but it was decided to keep the same factor for both sexes). 
The resulting incidence rates for stroke 28 day survivors is shown on the right hand side:</a:t>
          </a:r>
        </a:p>
      </xdr:txBody>
    </xdr:sp>
    <xdr:clientData/>
  </xdr:twoCellAnchor>
  <xdr:twoCellAnchor>
    <xdr:from>
      <xdr:col>1</xdr:col>
      <xdr:colOff>28575</xdr:colOff>
      <xdr:row>0</xdr:row>
      <xdr:rowOff>0</xdr:rowOff>
    </xdr:from>
    <xdr:to>
      <xdr:col>8</xdr:col>
      <xdr:colOff>209550</xdr:colOff>
      <xdr:row>0</xdr:row>
      <xdr:rowOff>0</xdr:rowOff>
    </xdr:to>
    <xdr:graphicFrame>
      <xdr:nvGraphicFramePr>
        <xdr:cNvPr id="3" name="Chart 3"/>
        <xdr:cNvGraphicFramePr/>
      </xdr:nvGraphicFramePr>
      <xdr:xfrm>
        <a:off x="409575" y="0"/>
        <a:ext cx="60864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0</xdr:rowOff>
    </xdr:from>
    <xdr:to>
      <xdr:col>11</xdr:col>
      <xdr:colOff>590550</xdr:colOff>
      <xdr:row>0</xdr:row>
      <xdr:rowOff>0</xdr:rowOff>
    </xdr:to>
    <xdr:sp>
      <xdr:nvSpPr>
        <xdr:cNvPr id="4" name="Text 12"/>
        <xdr:cNvSpPr txBox="1">
          <a:spLocks noChangeArrowheads="1"/>
        </xdr:cNvSpPr>
      </xdr:nvSpPr>
      <xdr:spPr>
        <a:xfrm>
          <a:off x="381000" y="0"/>
          <a:ext cx="8848725" cy="0"/>
        </a:xfrm>
        <a:prstGeom prst="rect">
          <a:avLst/>
        </a:prstGeom>
        <a:solidFill>
          <a:srgbClr val="FFFFFF"/>
        </a:solidFill>
        <a:ln w="9525" cmpd="sng">
          <a:noFill/>
        </a:ln>
      </xdr:spPr>
      <xdr:txBody>
        <a:bodyPr vertOverflow="clip" wrap="square"/>
        <a:p>
          <a:pPr algn="l">
            <a:defRPr/>
          </a:pPr>
          <a:r>
            <a:rPr lang="en-US" cap="none" sz="1200" b="0" i="0" u="none" baseline="0"/>
            <a:t>8.   For modeling of stroke survivors past the first 28 days we need to know the number of deaths. As only 58% of deaths in stroke cases are attributed to stroke (Anderson et al in Stroke, 1994), we have multiplied recorded stroke deaths (ABS1996) by 100/58. Next we deducted the modeled 28 day deaths (Note 5) from the extrapolated ABS deaths to obtain number of deaths in the stroke survivors. DISMOD was then used to model duration of survival for stroke survivors who did not die in the first 28 days (from estimated incidence rate and death rate). DISMOD only models up to age 90 and therefore we have included only deaths deaths between 75 and 89 in the 75+ age group.
</a:t>
          </a:r>
        </a:p>
      </xdr:txBody>
    </xdr:sp>
    <xdr:clientData/>
  </xdr:twoCellAnchor>
  <xdr:twoCellAnchor>
    <xdr:from>
      <xdr:col>1</xdr:col>
      <xdr:colOff>0</xdr:colOff>
      <xdr:row>0</xdr:row>
      <xdr:rowOff>0</xdr:rowOff>
    </xdr:from>
    <xdr:to>
      <xdr:col>11</xdr:col>
      <xdr:colOff>581025</xdr:colOff>
      <xdr:row>0</xdr:row>
      <xdr:rowOff>0</xdr:rowOff>
    </xdr:to>
    <xdr:sp>
      <xdr:nvSpPr>
        <xdr:cNvPr id="5" name="Text 14"/>
        <xdr:cNvSpPr txBox="1">
          <a:spLocks noChangeArrowheads="1"/>
        </xdr:cNvSpPr>
      </xdr:nvSpPr>
      <xdr:spPr>
        <a:xfrm>
          <a:off x="381000" y="0"/>
          <a:ext cx="883920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4. The 1995 National Health Survey (Australian Bureau of Statistics) provides self-report data on the prevalence (chronic or recent) of stroke including stroke after-effects. Then sample size for this household survey was around 55,000. The reported prevalence per 1,000 is shown below. There were 110,507 persons with prevalent stroke or stroke aftereffects in 1995 according to this survey. 
</a:t>
          </a:r>
        </a:p>
      </xdr:txBody>
    </xdr:sp>
    <xdr:clientData/>
  </xdr:twoCellAnchor>
  <xdr:twoCellAnchor>
    <xdr:from>
      <xdr:col>2</xdr:col>
      <xdr:colOff>0</xdr:colOff>
      <xdr:row>1</xdr:row>
      <xdr:rowOff>0</xdr:rowOff>
    </xdr:from>
    <xdr:to>
      <xdr:col>12</xdr:col>
      <xdr:colOff>590550</xdr:colOff>
      <xdr:row>1</xdr:row>
      <xdr:rowOff>0</xdr:rowOff>
    </xdr:to>
    <xdr:sp>
      <xdr:nvSpPr>
        <xdr:cNvPr id="6" name="Text 9"/>
        <xdr:cNvSpPr txBox="1">
          <a:spLocks noChangeArrowheads="1"/>
        </xdr:cNvSpPr>
      </xdr:nvSpPr>
      <xdr:spPr>
        <a:xfrm>
          <a:off x="1381125" y="190500"/>
          <a:ext cx="8705850" cy="0"/>
        </a:xfrm>
        <a:prstGeom prst="rect">
          <a:avLst/>
        </a:prstGeom>
        <a:solidFill>
          <a:srgbClr val="FFFFFF"/>
        </a:solidFill>
        <a:ln w="9525" cmpd="sng">
          <a:noFill/>
        </a:ln>
      </xdr:spPr>
      <xdr:txBody>
        <a:bodyPr vertOverflow="clip" wrap="square"/>
        <a:p>
          <a:pPr algn="l">
            <a:defRPr/>
          </a:pPr>
          <a:r>
            <a:rPr lang="en-US" cap="none" sz="1200" b="1" i="0" u="none" baseline="0">
              <a:latin typeface="Arial MT"/>
              <a:ea typeface="Arial MT"/>
              <a:cs typeface="Arial MT"/>
            </a:rPr>
            <a:t>11.  YLD for survivors who recover completely</a:t>
          </a:r>
          <a:r>
            <a:rPr lang="en-US" cap="none" sz="1200" b="0" i="0" u="none" baseline="0">
              <a:latin typeface="Arial MT"/>
              <a:ea typeface="Arial MT"/>
              <a:cs typeface="Arial MT"/>
            </a:rPr>
            <a:t>
Men are more likely to make a complete recovery from stroke (50%) than women(37%). (Bonita in Stroke 1997). Among stroke survivors, more women are dependent(27%) than men (16%), on others for self care. We  assumed that half the male incident cases and 37% of women, experience mild disability for 6 months. </a:t>
          </a:r>
        </a:p>
      </xdr:txBody>
    </xdr:sp>
    <xdr:clientData/>
  </xdr:twoCellAnchor>
  <xdr:twoCellAnchor>
    <xdr:from>
      <xdr:col>2</xdr:col>
      <xdr:colOff>0</xdr:colOff>
      <xdr:row>1</xdr:row>
      <xdr:rowOff>0</xdr:rowOff>
    </xdr:from>
    <xdr:to>
      <xdr:col>13</xdr:col>
      <xdr:colOff>0</xdr:colOff>
      <xdr:row>1</xdr:row>
      <xdr:rowOff>0</xdr:rowOff>
    </xdr:to>
    <xdr:sp>
      <xdr:nvSpPr>
        <xdr:cNvPr id="7" name="Text 9"/>
        <xdr:cNvSpPr txBox="1">
          <a:spLocks noChangeArrowheads="1"/>
        </xdr:cNvSpPr>
      </xdr:nvSpPr>
      <xdr:spPr>
        <a:xfrm>
          <a:off x="1381125" y="190500"/>
          <a:ext cx="8715375" cy="0"/>
        </a:xfrm>
        <a:prstGeom prst="rect">
          <a:avLst/>
        </a:prstGeom>
        <a:solidFill>
          <a:srgbClr val="FFFFFF"/>
        </a:solidFill>
        <a:ln w="9525" cmpd="sng">
          <a:noFill/>
        </a:ln>
      </xdr:spPr>
      <xdr:txBody>
        <a:bodyPr vertOverflow="clip" wrap="square"/>
        <a:p>
          <a:pPr algn="l">
            <a:defRPr/>
          </a:pPr>
          <a:r>
            <a:rPr lang="en-US" cap="none" sz="1200" b="0" i="0" u="none" baseline="0"/>
            <a:t>Use duration modelled with DISMOD at step 8 above (assuming average duration same for those who remit and those who have permanent disability). 
</a:t>
          </a:r>
        </a:p>
      </xdr:txBody>
    </xdr:sp>
    <xdr:clientData/>
  </xdr:twoCellAnchor>
  <xdr:twoCellAnchor>
    <xdr:from>
      <xdr:col>2</xdr:col>
      <xdr:colOff>0</xdr:colOff>
      <xdr:row>1</xdr:row>
      <xdr:rowOff>0</xdr:rowOff>
    </xdr:from>
    <xdr:to>
      <xdr:col>12</xdr:col>
      <xdr:colOff>66675</xdr:colOff>
      <xdr:row>1</xdr:row>
      <xdr:rowOff>0</xdr:rowOff>
    </xdr:to>
    <xdr:sp>
      <xdr:nvSpPr>
        <xdr:cNvPr id="8" name="Text 1"/>
        <xdr:cNvSpPr txBox="1">
          <a:spLocks noChangeArrowheads="1"/>
        </xdr:cNvSpPr>
      </xdr:nvSpPr>
      <xdr:spPr>
        <a:xfrm>
          <a:off x="1381125" y="190500"/>
          <a:ext cx="8181975" cy="0"/>
        </a:xfrm>
        <a:prstGeom prst="rect">
          <a:avLst/>
        </a:prstGeom>
        <a:solidFill>
          <a:srgbClr val="FFFFFF"/>
        </a:solidFill>
        <a:ln w="9525" cmpd="sng">
          <a:noFill/>
        </a:ln>
      </xdr:spPr>
      <xdr:txBody>
        <a:bodyPr vertOverflow="clip" wrap="square"/>
        <a:p>
          <a:pPr algn="l">
            <a:defRPr/>
          </a:pPr>
          <a:r>
            <a:rPr lang="en-US" cap="none" sz="1200" b="0" i="0" u="sng" baseline="0">
              <a:latin typeface="Arial"/>
              <a:ea typeface="Arial"/>
              <a:cs typeface="Arial"/>
            </a:rPr>
            <a:t>References</a:t>
          </a:r>
          <a:r>
            <a:rPr lang="en-US" cap="none" sz="1200" b="0" i="0" u="none" baseline="0">
              <a:latin typeface="Arial"/>
              <a:ea typeface="Arial"/>
              <a:cs typeface="Arial"/>
            </a:rPr>
            <a:t>
Anderson CS et al. (1994) Predicting Survival for 1 year Among Different Subtypes of Stroke. Results from the Perth Community Stroke Study. Stroke  Oct. 25(10):1935-43.
Bonita R et al. (1994) Stroke Incidence and Case Fatality in Australasia. A comparison of the Auckland and Perth Population based Stroke Registers. Stroke  March 25(3):552-7.
</a:t>
          </a:r>
        </a:p>
      </xdr:txBody>
    </xdr:sp>
    <xdr:clientData/>
  </xdr:twoCellAnchor>
  <xdr:twoCellAnchor>
    <xdr:from>
      <xdr:col>14</xdr:col>
      <xdr:colOff>0</xdr:colOff>
      <xdr:row>0</xdr:row>
      <xdr:rowOff>0</xdr:rowOff>
    </xdr:from>
    <xdr:to>
      <xdr:col>19</xdr:col>
      <xdr:colOff>76200</xdr:colOff>
      <xdr:row>0</xdr:row>
      <xdr:rowOff>0</xdr:rowOff>
    </xdr:to>
    <xdr:graphicFrame>
      <xdr:nvGraphicFramePr>
        <xdr:cNvPr id="9" name="Chart 9"/>
        <xdr:cNvGraphicFramePr/>
      </xdr:nvGraphicFramePr>
      <xdr:xfrm>
        <a:off x="10782300" y="0"/>
        <a:ext cx="3438525"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11</xdr:col>
      <xdr:colOff>581025</xdr:colOff>
      <xdr:row>0</xdr:row>
      <xdr:rowOff>0</xdr:rowOff>
    </xdr:to>
    <xdr:sp>
      <xdr:nvSpPr>
        <xdr:cNvPr id="10" name="Text 14"/>
        <xdr:cNvSpPr txBox="1">
          <a:spLocks noChangeArrowheads="1"/>
        </xdr:cNvSpPr>
      </xdr:nvSpPr>
      <xdr:spPr>
        <a:xfrm>
          <a:off x="381000" y="0"/>
          <a:ext cx="883920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5. The 1993 Disability Survey (Australian Bureau of Statistics) included households and health institutions with a total sample size of around 42,000. This survey gives an estimate of 39,200 people where stroke was the main cause of their disability (see Table below right). Of these, 21,000 have profound handicap (always requiring assistance for mobility, self-care or communication tasks), and 9,300 have severe or moderate handicap (sometimes requiring assistance or problems with self-care but not requiring assistance).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7"/>
  <sheetViews>
    <sheetView workbookViewId="0" topLeftCell="A1">
      <selection activeCell="A18" sqref="A18"/>
    </sheetView>
  </sheetViews>
  <sheetFormatPr defaultColWidth="9.140625" defaultRowHeight="12.75"/>
  <cols>
    <col min="1" max="16384" width="9.140625" style="19" customWidth="1"/>
  </cols>
  <sheetData>
    <row r="1" spans="1:14" ht="18.75">
      <c r="A1" s="17" t="s">
        <v>10</v>
      </c>
      <c r="B1" s="18"/>
      <c r="C1" s="18"/>
      <c r="D1" s="18"/>
      <c r="E1" s="18"/>
      <c r="F1" s="18"/>
      <c r="G1" s="18"/>
      <c r="H1" s="18"/>
      <c r="I1" s="18"/>
      <c r="J1" s="18"/>
      <c r="K1" s="18"/>
      <c r="L1" s="18"/>
      <c r="M1" s="18"/>
      <c r="N1" s="18"/>
    </row>
    <row r="2" spans="1:13" ht="15">
      <c r="A2" s="4"/>
      <c r="B2" s="4"/>
      <c r="C2" s="4"/>
      <c r="D2" s="4"/>
      <c r="E2" s="4"/>
      <c r="F2" s="4"/>
      <c r="G2" s="4"/>
      <c r="H2" s="4"/>
      <c r="I2" s="4"/>
      <c r="J2" s="4"/>
      <c r="K2" s="4"/>
      <c r="L2" s="4"/>
      <c r="M2" s="4"/>
    </row>
    <row r="3" spans="1:13" ht="15">
      <c r="A3" s="4" t="s">
        <v>226</v>
      </c>
      <c r="B3" s="4"/>
      <c r="C3" s="4"/>
      <c r="D3" s="4"/>
      <c r="E3" s="4"/>
      <c r="F3" s="4"/>
      <c r="G3" s="4"/>
      <c r="H3" s="4"/>
      <c r="I3" s="4"/>
      <c r="J3" s="4"/>
      <c r="K3" s="4"/>
      <c r="L3" s="4"/>
      <c r="M3" s="4"/>
    </row>
    <row r="4" spans="1:13" ht="15">
      <c r="A4" s="4" t="s">
        <v>227</v>
      </c>
      <c r="B4" s="4"/>
      <c r="C4" s="4"/>
      <c r="D4" s="4"/>
      <c r="E4" s="4"/>
      <c r="F4" s="4"/>
      <c r="G4" s="4"/>
      <c r="H4" s="4"/>
      <c r="I4" s="4"/>
      <c r="J4" s="4"/>
      <c r="K4" s="4"/>
      <c r="L4" s="4"/>
      <c r="M4" s="4"/>
    </row>
    <row r="5" spans="1:13" ht="15">
      <c r="A5" s="4" t="s">
        <v>196</v>
      </c>
      <c r="B5" s="4"/>
      <c r="C5" s="4"/>
      <c r="D5" s="4"/>
      <c r="E5" s="4"/>
      <c r="F5" s="4"/>
      <c r="G5" s="4"/>
      <c r="H5" s="4"/>
      <c r="I5" s="4"/>
      <c r="J5" s="4"/>
      <c r="K5" s="4"/>
      <c r="L5" s="4"/>
      <c r="M5" s="4"/>
    </row>
    <row r="6" spans="1:13" ht="15">
      <c r="A6" s="4" t="s">
        <v>197</v>
      </c>
      <c r="B6" s="4"/>
      <c r="C6" s="4"/>
      <c r="D6" s="4"/>
      <c r="E6" s="4"/>
      <c r="F6" s="4"/>
      <c r="G6" s="4"/>
      <c r="H6" s="4"/>
      <c r="I6" s="4"/>
      <c r="J6" s="4"/>
      <c r="K6" s="4"/>
      <c r="L6" s="4"/>
      <c r="M6" s="4"/>
    </row>
    <row r="7" spans="1:13" ht="15">
      <c r="A7" s="4" t="s">
        <v>229</v>
      </c>
      <c r="B7" s="4"/>
      <c r="C7" s="4"/>
      <c r="D7" s="4"/>
      <c r="E7" s="4"/>
      <c r="F7" s="4"/>
      <c r="G7" s="4"/>
      <c r="H7" s="4"/>
      <c r="I7" s="4"/>
      <c r="J7" s="4"/>
      <c r="K7" s="4"/>
      <c r="L7" s="4"/>
      <c r="M7" s="4"/>
    </row>
    <row r="8" spans="1:13" ht="15">
      <c r="A8" s="4"/>
      <c r="B8" s="4"/>
      <c r="C8" s="4"/>
      <c r="D8" s="4"/>
      <c r="E8" s="4"/>
      <c r="F8" s="4"/>
      <c r="G8" s="4"/>
      <c r="H8" s="4"/>
      <c r="I8" s="4"/>
      <c r="J8" s="4"/>
      <c r="K8" s="4"/>
      <c r="L8" s="4"/>
      <c r="M8" s="4"/>
    </row>
    <row r="9" spans="1:13" ht="15">
      <c r="A9" s="20" t="s">
        <v>49</v>
      </c>
      <c r="B9" s="4"/>
      <c r="C9" s="4"/>
      <c r="D9" s="4"/>
      <c r="E9" s="4"/>
      <c r="F9" s="4"/>
      <c r="G9" s="20" t="s">
        <v>14</v>
      </c>
      <c r="H9" s="4"/>
      <c r="I9" s="4"/>
      <c r="J9" s="4"/>
      <c r="K9" s="4"/>
      <c r="L9" s="4"/>
      <c r="M9" s="4"/>
    </row>
    <row r="10" spans="3:13" ht="15">
      <c r="C10" s="4"/>
      <c r="D10" s="4"/>
      <c r="E10" s="4"/>
      <c r="F10" s="4"/>
      <c r="G10" s="4" t="s">
        <v>37</v>
      </c>
      <c r="H10" s="4" t="s">
        <v>50</v>
      </c>
      <c r="I10" s="4"/>
      <c r="J10" s="4"/>
      <c r="K10" s="4"/>
      <c r="L10" s="4"/>
      <c r="M10" s="4"/>
    </row>
    <row r="11" spans="1:13" ht="15">
      <c r="A11" s="14"/>
      <c r="B11" s="4" t="s">
        <v>15</v>
      </c>
      <c r="C11" s="4"/>
      <c r="D11" s="4"/>
      <c r="E11" s="4"/>
      <c r="F11" s="4"/>
      <c r="G11" s="4" t="s">
        <v>13</v>
      </c>
      <c r="H11" s="4" t="s">
        <v>52</v>
      </c>
      <c r="I11" s="4"/>
      <c r="J11" s="4"/>
      <c r="K11" s="4"/>
      <c r="L11" s="4"/>
      <c r="M11" s="4"/>
    </row>
    <row r="12" spans="3:13" ht="15">
      <c r="C12" s="4"/>
      <c r="D12" s="4"/>
      <c r="E12" s="4"/>
      <c r="F12" s="4"/>
      <c r="G12" s="4" t="s">
        <v>11</v>
      </c>
      <c r="H12" s="4" t="s">
        <v>53</v>
      </c>
      <c r="I12" s="4"/>
      <c r="J12" s="4"/>
      <c r="K12" s="4"/>
      <c r="L12" s="4"/>
      <c r="M12" s="4"/>
    </row>
    <row r="13" spans="1:13" ht="15">
      <c r="A13" s="6"/>
      <c r="B13" s="4" t="s">
        <v>16</v>
      </c>
      <c r="C13" s="4"/>
      <c r="D13" s="4"/>
      <c r="E13" s="4"/>
      <c r="F13" s="4"/>
      <c r="G13" s="4" t="s">
        <v>1</v>
      </c>
      <c r="H13" s="4" t="s">
        <v>54</v>
      </c>
      <c r="I13" s="4"/>
      <c r="J13" s="4"/>
      <c r="K13" s="4"/>
      <c r="L13" s="4"/>
      <c r="M13" s="4"/>
    </row>
    <row r="14" spans="3:13" ht="15">
      <c r="C14" s="4"/>
      <c r="D14" s="4"/>
      <c r="E14" s="4"/>
      <c r="F14" s="4"/>
      <c r="G14" s="4" t="s">
        <v>31</v>
      </c>
      <c r="H14" s="4" t="s">
        <v>51</v>
      </c>
      <c r="I14" s="4"/>
      <c r="J14" s="4"/>
      <c r="K14" s="4"/>
      <c r="L14" s="4"/>
      <c r="M14" s="4"/>
    </row>
    <row r="15" spans="3:13" ht="15">
      <c r="C15" s="4"/>
      <c r="D15" s="4"/>
      <c r="E15" s="4"/>
      <c r="F15" s="4"/>
      <c r="G15" s="4" t="s">
        <v>185</v>
      </c>
      <c r="H15" s="4" t="s">
        <v>186</v>
      </c>
      <c r="I15" s="4"/>
      <c r="J15" s="4"/>
      <c r="K15" s="4"/>
      <c r="L15" s="4"/>
      <c r="M15" s="4"/>
    </row>
    <row r="16" spans="1:13" ht="15">
      <c r="A16" s="20" t="s">
        <v>12</v>
      </c>
      <c r="C16" s="4"/>
      <c r="D16" s="4"/>
      <c r="E16" s="4"/>
      <c r="F16" s="4"/>
      <c r="G16" s="4"/>
      <c r="H16" s="4"/>
      <c r="I16" s="4"/>
      <c r="J16" s="4"/>
      <c r="K16" s="4"/>
      <c r="L16" s="4"/>
      <c r="M16" s="4"/>
    </row>
    <row r="17" spans="1:13" ht="15">
      <c r="A17" s="4" t="s">
        <v>195</v>
      </c>
      <c r="C17" s="4"/>
      <c r="D17" s="4"/>
      <c r="E17" s="4"/>
      <c r="F17" s="4"/>
      <c r="G17" s="4"/>
      <c r="H17" s="4"/>
      <c r="I17" s="4"/>
      <c r="J17" s="4"/>
      <c r="K17" s="4"/>
      <c r="L17" s="4"/>
      <c r="M17" s="4"/>
    </row>
    <row r="18" spans="1:13" ht="15">
      <c r="A18" s="4" t="s">
        <v>55</v>
      </c>
      <c r="C18" s="4"/>
      <c r="D18" s="4"/>
      <c r="E18" s="4"/>
      <c r="F18" s="4"/>
      <c r="G18" s="4"/>
      <c r="H18" s="4"/>
      <c r="I18" s="4"/>
      <c r="J18" s="4"/>
      <c r="K18" s="4"/>
      <c r="L18" s="4"/>
      <c r="M18" s="4"/>
    </row>
    <row r="19" spans="2:13" ht="15">
      <c r="B19" s="4"/>
      <c r="C19" s="4"/>
      <c r="D19" s="4"/>
      <c r="E19" s="4"/>
      <c r="F19" s="4"/>
      <c r="G19" s="4"/>
      <c r="H19" s="4"/>
      <c r="I19" s="4"/>
      <c r="J19" s="4"/>
      <c r="K19" s="4"/>
      <c r="L19" s="4"/>
      <c r="M19" s="4"/>
    </row>
    <row r="20" spans="1:13" ht="15">
      <c r="A20" s="163" t="s">
        <v>228</v>
      </c>
      <c r="B20" s="4"/>
      <c r="C20" s="4"/>
      <c r="D20" s="4"/>
      <c r="F20" s="4"/>
      <c r="G20" s="4"/>
      <c r="H20" s="4"/>
      <c r="I20" s="4"/>
      <c r="J20" s="4"/>
      <c r="K20" s="4"/>
      <c r="L20" s="4"/>
      <c r="M20" s="4"/>
    </row>
    <row r="21" spans="2:13" ht="15">
      <c r="B21" s="4"/>
      <c r="C21" s="4"/>
      <c r="D21" s="4"/>
      <c r="F21" s="4"/>
      <c r="G21" s="4"/>
      <c r="H21" s="4"/>
      <c r="I21" s="4"/>
      <c r="J21" s="4"/>
      <c r="K21" s="4"/>
      <c r="L21" s="4"/>
      <c r="M21" s="4"/>
    </row>
    <row r="22" spans="2:13" ht="15">
      <c r="B22" s="4"/>
      <c r="C22" s="4"/>
      <c r="D22" s="4"/>
      <c r="E22" s="4"/>
      <c r="F22" s="4"/>
      <c r="G22" s="4"/>
      <c r="H22" s="4"/>
      <c r="I22" s="4"/>
      <c r="J22" s="4"/>
      <c r="K22" s="4"/>
      <c r="L22" s="4"/>
      <c r="M22" s="4"/>
    </row>
    <row r="23" spans="1:13" ht="15">
      <c r="A23" s="4"/>
      <c r="B23" s="4"/>
      <c r="C23" s="4"/>
      <c r="D23" s="4"/>
      <c r="E23" s="4"/>
      <c r="F23" s="4"/>
      <c r="G23" s="4"/>
      <c r="H23" s="4"/>
      <c r="I23" s="4"/>
      <c r="J23" s="4"/>
      <c r="K23" s="4"/>
      <c r="L23" s="4"/>
      <c r="M23" s="4"/>
    </row>
    <row r="24" spans="1:13" ht="15">
      <c r="A24" s="4"/>
      <c r="B24" s="4"/>
      <c r="C24" s="4"/>
      <c r="D24" s="4"/>
      <c r="E24" s="4"/>
      <c r="F24" s="4"/>
      <c r="G24" s="4"/>
      <c r="H24" s="4"/>
      <c r="I24" s="4"/>
      <c r="J24" s="4"/>
      <c r="K24" s="4"/>
      <c r="L24" s="4"/>
      <c r="M24" s="4"/>
    </row>
    <row r="25" spans="1:13" ht="15">
      <c r="A25" s="4"/>
      <c r="B25" s="4"/>
      <c r="C25" s="4"/>
      <c r="D25" s="4"/>
      <c r="E25" s="4"/>
      <c r="F25" s="4"/>
      <c r="G25" s="4"/>
      <c r="H25" s="4"/>
      <c r="I25" s="4"/>
      <c r="J25" s="4"/>
      <c r="K25" s="4"/>
      <c r="L25" s="4"/>
      <c r="M25" s="4"/>
    </row>
    <row r="26" spans="1:13" ht="15">
      <c r="A26" s="4"/>
      <c r="B26" s="4"/>
      <c r="C26" s="4"/>
      <c r="D26" s="4"/>
      <c r="E26" s="4"/>
      <c r="F26" s="4"/>
      <c r="G26" s="4"/>
      <c r="H26" s="4"/>
      <c r="I26" s="4"/>
      <c r="J26" s="4"/>
      <c r="K26" s="4"/>
      <c r="L26" s="4"/>
      <c r="M26" s="4"/>
    </row>
    <row r="27" spans="1:13" ht="15">
      <c r="A27" s="4"/>
      <c r="B27" s="4"/>
      <c r="C27" s="4"/>
      <c r="D27" s="4"/>
      <c r="E27" s="4"/>
      <c r="F27" s="4"/>
      <c r="K27" s="4"/>
      <c r="L27" s="4"/>
      <c r="M27" s="4"/>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5"/>
  <sheetViews>
    <sheetView workbookViewId="0" topLeftCell="A1">
      <selection activeCell="C40" sqref="C40"/>
    </sheetView>
  </sheetViews>
  <sheetFormatPr defaultColWidth="9.140625" defaultRowHeight="12.75"/>
  <cols>
    <col min="1" max="1" width="5.7109375" style="2" customWidth="1"/>
    <col min="2" max="2" width="13.7109375" style="7" bestFit="1" customWidth="1"/>
    <col min="3" max="3" width="26.57421875" style="2" customWidth="1"/>
    <col min="4" max="4" width="6.8515625" style="2" customWidth="1"/>
    <col min="5" max="5" width="7.28125" style="2" customWidth="1"/>
    <col min="6" max="6" width="11.140625" style="2" bestFit="1" customWidth="1"/>
    <col min="7" max="8" width="8.421875" style="2" bestFit="1" customWidth="1"/>
    <col min="9" max="9" width="9.421875" style="2" customWidth="1"/>
    <col min="10" max="16384" width="9.140625" style="2" customWidth="1"/>
  </cols>
  <sheetData>
    <row r="1" spans="1:12" ht="15">
      <c r="A1" s="114"/>
      <c r="B1" s="115" t="s">
        <v>191</v>
      </c>
      <c r="C1" s="114"/>
      <c r="D1" s="114"/>
      <c r="E1" s="114"/>
      <c r="F1" s="114"/>
      <c r="G1" s="114"/>
      <c r="H1" s="114"/>
      <c r="I1" s="114"/>
      <c r="J1" s="114"/>
      <c r="K1" s="114"/>
      <c r="L1" s="114"/>
    </row>
    <row r="2" spans="1:4" ht="15">
      <c r="A2" s="20"/>
      <c r="B2" s="2"/>
      <c r="D2" s="7"/>
    </row>
    <row r="3" spans="2:3" ht="15">
      <c r="B3" s="14"/>
      <c r="C3" s="1" t="s">
        <v>198</v>
      </c>
    </row>
    <row r="4" ht="15">
      <c r="B4" s="5"/>
    </row>
    <row r="5" spans="2:3" ht="15">
      <c r="B5" s="11" t="s">
        <v>7</v>
      </c>
      <c r="C5" s="2" t="s">
        <v>199</v>
      </c>
    </row>
    <row r="6" spans="2:4" ht="15">
      <c r="B6" s="2"/>
      <c r="C6" s="102" t="s">
        <v>164</v>
      </c>
      <c r="D6" s="2" t="s">
        <v>9</v>
      </c>
    </row>
    <row r="7" spans="2:4" ht="15">
      <c r="B7" s="2"/>
      <c r="C7" s="102" t="s">
        <v>165</v>
      </c>
      <c r="D7" s="2" t="s">
        <v>166</v>
      </c>
    </row>
    <row r="8" spans="2:4" ht="15">
      <c r="B8" s="2"/>
      <c r="C8" s="102" t="s">
        <v>204</v>
      </c>
      <c r="D8" s="2" t="s">
        <v>225</v>
      </c>
    </row>
    <row r="9" ht="15">
      <c r="B9" s="2"/>
    </row>
    <row r="10" spans="2:3" ht="15">
      <c r="B10" s="6"/>
      <c r="C10" s="1" t="s">
        <v>200</v>
      </c>
    </row>
    <row r="13" spans="3:7" s="1" customFormat="1" ht="14.25">
      <c r="C13" s="13" t="s">
        <v>0</v>
      </c>
      <c r="D13" s="12" t="s">
        <v>4</v>
      </c>
      <c r="E13" s="12" t="s">
        <v>1</v>
      </c>
      <c r="F13" s="12" t="s">
        <v>5</v>
      </c>
      <c r="G13" s="15" t="s">
        <v>6</v>
      </c>
    </row>
    <row r="14" spans="3:7" ht="15">
      <c r="C14" s="149" t="s">
        <v>2</v>
      </c>
      <c r="D14" s="159">
        <v>5</v>
      </c>
      <c r="E14" s="159">
        <v>2.5</v>
      </c>
      <c r="F14" s="160">
        <f>D14/1000*250</f>
        <v>1.25</v>
      </c>
      <c r="G14" s="161">
        <f>E14/1000*250</f>
        <v>0.625</v>
      </c>
    </row>
    <row r="15" spans="3:7" ht="15">
      <c r="C15" s="149" t="s">
        <v>3</v>
      </c>
      <c r="D15" s="159">
        <v>10</v>
      </c>
      <c r="E15" s="159">
        <v>5</v>
      </c>
      <c r="F15" s="160">
        <f>((D15/1000)/1.7)*250</f>
        <v>1.4705882352941175</v>
      </c>
      <c r="G15" s="161">
        <f>((E15/1000)/1.7)*250</f>
        <v>0.7352941176470588</v>
      </c>
    </row>
    <row r="16" spans="3:7" ht="15">
      <c r="C16" s="152" t="s">
        <v>205</v>
      </c>
      <c r="D16" s="162">
        <v>0.04</v>
      </c>
      <c r="E16" s="162">
        <v>0.1044</v>
      </c>
      <c r="F16" s="157">
        <f>((D16*0.95*0.05*65)/(0.014*5.85))/1000*250</f>
        <v>0.376984126984127</v>
      </c>
      <c r="G16" s="158">
        <f>((E16*0.95*0.05*65)/(0.014*5.85))/1000*250</f>
        <v>0.9839285714285716</v>
      </c>
    </row>
    <row r="18" ht="15">
      <c r="D18" s="164"/>
    </row>
    <row r="19" spans="6:7" ht="15">
      <c r="F19" s="3"/>
      <c r="G19" s="3"/>
    </row>
    <row r="27" ht="15">
      <c r="B27" s="7" t="s">
        <v>206</v>
      </c>
    </row>
    <row r="28" spans="5:6" ht="15">
      <c r="E28" s="153" t="s">
        <v>220</v>
      </c>
      <c r="F28" s="154"/>
    </row>
    <row r="29" spans="5:6" ht="15">
      <c r="E29" s="4" t="s">
        <v>207</v>
      </c>
      <c r="F29" s="4" t="s">
        <v>208</v>
      </c>
    </row>
    <row r="30" spans="5:6" ht="15">
      <c r="E30" s="4" t="s">
        <v>209</v>
      </c>
      <c r="F30" s="4" t="s">
        <v>210</v>
      </c>
    </row>
    <row r="31" spans="2:6" ht="15.75" thickBot="1">
      <c r="B31" s="151" t="s">
        <v>224</v>
      </c>
      <c r="C31" s="155" t="s">
        <v>222</v>
      </c>
      <c r="E31" s="4" t="s">
        <v>211</v>
      </c>
      <c r="F31" s="4" t="s">
        <v>221</v>
      </c>
    </row>
    <row r="32" spans="3:6" ht="15">
      <c r="C32" s="156" t="s">
        <v>223</v>
      </c>
      <c r="E32" s="4" t="s">
        <v>212</v>
      </c>
      <c r="F32" s="4" t="s">
        <v>213</v>
      </c>
    </row>
    <row r="33" spans="5:6" ht="15">
      <c r="E33" s="4" t="s">
        <v>214</v>
      </c>
      <c r="F33" s="4" t="s">
        <v>215</v>
      </c>
    </row>
    <row r="34" spans="5:6" ht="15">
      <c r="E34" s="4" t="s">
        <v>216</v>
      </c>
      <c r="F34" s="4" t="s">
        <v>217</v>
      </c>
    </row>
    <row r="35" spans="5:6" ht="15">
      <c r="E35" s="4" t="s">
        <v>218</v>
      </c>
      <c r="F35" s="4" t="s">
        <v>219</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2"/>
  <sheetViews>
    <sheetView tabSelected="1" workbookViewId="0" topLeftCell="A1">
      <selection activeCell="B2" sqref="B2"/>
    </sheetView>
  </sheetViews>
  <sheetFormatPr defaultColWidth="9.140625" defaultRowHeight="12.75"/>
  <cols>
    <col min="1" max="1" width="21.7109375" style="8" customWidth="1"/>
    <col min="2" max="2" width="9.140625" style="8" customWidth="1"/>
    <col min="3" max="3" width="4.7109375" style="8" customWidth="1"/>
    <col min="4" max="4" width="19.8515625" style="8" customWidth="1"/>
    <col min="5" max="5" width="4.57421875" style="8" customWidth="1"/>
    <col min="6" max="6" width="4.7109375" style="8" customWidth="1"/>
    <col min="7" max="7" width="18.28125" style="8" customWidth="1"/>
    <col min="8" max="8" width="12.28125" style="8" customWidth="1"/>
    <col min="9" max="9" width="4.7109375" style="8" customWidth="1"/>
    <col min="10" max="10" width="17.7109375" style="8" bestFit="1" customWidth="1"/>
    <col min="11" max="11" width="4.00390625" style="8" customWidth="1"/>
    <col min="12" max="12" width="16.7109375" style="8" customWidth="1"/>
    <col min="13" max="16384" width="9.140625" style="8" customWidth="1"/>
  </cols>
  <sheetData>
    <row r="1" spans="1:12" ht="15">
      <c r="A1" s="91" t="s">
        <v>189</v>
      </c>
      <c r="B1" s="90"/>
      <c r="C1" s="90"/>
      <c r="D1" s="90"/>
      <c r="E1" s="141"/>
      <c r="F1" s="141"/>
      <c r="G1" s="141"/>
      <c r="H1" s="141"/>
      <c r="I1" s="141"/>
      <c r="J1" s="141"/>
      <c r="K1" s="141"/>
      <c r="L1" s="141"/>
    </row>
    <row r="2" spans="1:3" ht="15">
      <c r="A2" s="117" t="s">
        <v>4</v>
      </c>
      <c r="B2" s="81">
        <v>0.829</v>
      </c>
      <c r="C2" s="9" t="s">
        <v>201</v>
      </c>
    </row>
    <row r="3" spans="1:3" ht="15">
      <c r="A3" s="117" t="s">
        <v>1</v>
      </c>
      <c r="B3" s="81">
        <v>1.162</v>
      </c>
      <c r="C3" s="9" t="s">
        <v>202</v>
      </c>
    </row>
    <row r="4" spans="1:3" ht="15">
      <c r="A4" s="117"/>
      <c r="B4" s="120"/>
      <c r="C4" s="9"/>
    </row>
    <row r="5" spans="1:12" ht="15">
      <c r="A5" s="119" t="s">
        <v>187</v>
      </c>
      <c r="B5" s="118"/>
      <c r="C5" s="118"/>
      <c r="D5" s="118"/>
      <c r="E5" s="89"/>
      <c r="F5" s="89"/>
      <c r="G5" s="141"/>
      <c r="H5" s="141"/>
      <c r="I5" s="141"/>
      <c r="J5" s="141"/>
      <c r="K5" s="141"/>
      <c r="L5" s="141"/>
    </row>
    <row r="6" spans="1:6" ht="15">
      <c r="A6" s="117" t="s">
        <v>188</v>
      </c>
      <c r="B6" s="82">
        <f>B17*100</f>
        <v>0</v>
      </c>
      <c r="C6" s="150" t="s">
        <v>203</v>
      </c>
      <c r="D6" s="72"/>
      <c r="E6" s="9"/>
      <c r="F6" s="9"/>
    </row>
    <row r="7" spans="1:6" ht="15">
      <c r="A7" s="117" t="s">
        <v>57</v>
      </c>
      <c r="B7" s="82">
        <f>SUM(L12:L62)</f>
        <v>0.7703579805408153</v>
      </c>
      <c r="C7" s="80" t="s">
        <v>46</v>
      </c>
      <c r="D7" s="72"/>
      <c r="E7" s="9"/>
      <c r="F7" s="9"/>
    </row>
    <row r="8" spans="1:6" ht="15">
      <c r="A8" s="83"/>
      <c r="B8" s="84"/>
      <c r="D8" s="72"/>
      <c r="E8" s="9"/>
      <c r="F8" s="9"/>
    </row>
    <row r="9" spans="1:6" ht="15">
      <c r="A9" s="83"/>
      <c r="B9" s="84"/>
      <c r="C9" s="142"/>
      <c r="D9" s="72"/>
      <c r="E9" s="9"/>
      <c r="F9" s="9"/>
    </row>
    <row r="10" spans="1:12" ht="15">
      <c r="A10" s="143" t="s">
        <v>190</v>
      </c>
      <c r="B10" s="144"/>
      <c r="C10" s="144"/>
      <c r="D10" s="118"/>
      <c r="E10" s="89"/>
      <c r="F10" s="89"/>
      <c r="G10" s="141"/>
      <c r="H10" s="141"/>
      <c r="I10" s="141"/>
      <c r="J10" s="141"/>
      <c r="K10" s="141"/>
      <c r="L10" s="141"/>
    </row>
    <row r="11" spans="1:12" s="9" customFormat="1" ht="14.25">
      <c r="A11" s="137" t="s">
        <v>58</v>
      </c>
      <c r="B11" s="140"/>
      <c r="C11" s="86"/>
      <c r="D11" s="139" t="s">
        <v>59</v>
      </c>
      <c r="E11" s="138"/>
      <c r="F11" s="73"/>
      <c r="G11" s="137" t="s">
        <v>60</v>
      </c>
      <c r="H11" s="137"/>
      <c r="J11" s="138" t="s">
        <v>56</v>
      </c>
      <c r="L11" s="137" t="s">
        <v>61</v>
      </c>
    </row>
    <row r="12" spans="1:12" ht="15">
      <c r="A12" s="94">
        <v>0</v>
      </c>
      <c r="B12" s="98">
        <v>1</v>
      </c>
      <c r="C12" s="87"/>
      <c r="D12" s="95" t="s">
        <v>63</v>
      </c>
      <c r="E12" s="10">
        <f aca="true" t="shared" si="0" ref="E12:E61">B12-B13</f>
        <v>0.8432116161457337</v>
      </c>
      <c r="F12" s="10"/>
      <c r="G12" s="99" t="s">
        <v>113</v>
      </c>
      <c r="H12" s="10">
        <f>E12*1000</f>
        <v>843.2116161457337</v>
      </c>
      <c r="I12" s="10"/>
      <c r="J12" s="98">
        <v>0.0005000000000000004</v>
      </c>
      <c r="K12" s="10"/>
      <c r="L12" s="98">
        <f>H12*J12</f>
        <v>0.42160580807286724</v>
      </c>
    </row>
    <row r="13" spans="1:12" ht="15">
      <c r="A13" s="94">
        <v>2</v>
      </c>
      <c r="B13" s="98">
        <f>1-NORMDIST(2,B$2,B$3,1)</f>
        <v>0.1567883838542663</v>
      </c>
      <c r="C13" s="87"/>
      <c r="D13" s="95" t="s">
        <v>62</v>
      </c>
      <c r="E13" s="10">
        <f t="shared" si="0"/>
        <v>0.15361123622270623</v>
      </c>
      <c r="F13" s="10"/>
      <c r="G13" s="99" t="s">
        <v>114</v>
      </c>
      <c r="H13" s="10">
        <f aca="true" t="shared" si="1" ref="H13:H62">E13*1000</f>
        <v>153.61123622270622</v>
      </c>
      <c r="I13" s="10"/>
      <c r="J13" s="98">
        <v>0.0022000000000000006</v>
      </c>
      <c r="K13" s="10"/>
      <c r="L13" s="98">
        <f aca="true" t="shared" si="2" ref="L13:L62">H13*J13</f>
        <v>0.33794471968995377</v>
      </c>
    </row>
    <row r="14" spans="1:12" ht="15">
      <c r="A14" s="94">
        <v>4</v>
      </c>
      <c r="B14" s="98">
        <f>1-NORMDIST(4,B$2,B$3,1)</f>
        <v>0.0031771476315600733</v>
      </c>
      <c r="C14" s="87"/>
      <c r="D14" s="95" t="s">
        <v>64</v>
      </c>
      <c r="E14" s="10">
        <f t="shared" si="0"/>
        <v>0.0031728558372302595</v>
      </c>
      <c r="F14" s="10"/>
      <c r="G14" s="99" t="s">
        <v>153</v>
      </c>
      <c r="H14" s="10">
        <f t="shared" si="1"/>
        <v>3.1728558372302595</v>
      </c>
      <c r="I14" s="10"/>
      <c r="J14" s="98">
        <v>0.0034000000000000002</v>
      </c>
      <c r="K14" s="10"/>
      <c r="L14" s="98">
        <f t="shared" si="2"/>
        <v>0.010787709846582883</v>
      </c>
    </row>
    <row r="15" spans="1:12" ht="15">
      <c r="A15" s="94">
        <v>6</v>
      </c>
      <c r="B15" s="98">
        <f>1-NORMDIST(6,B$2,B$3,1)</f>
        <v>4.291794329813747E-06</v>
      </c>
      <c r="C15" s="87"/>
      <c r="D15" s="95" t="s">
        <v>65</v>
      </c>
      <c r="E15" s="10">
        <f t="shared" si="0"/>
        <v>4.291455582672299E-06</v>
      </c>
      <c r="F15" s="10"/>
      <c r="G15" s="99" t="s">
        <v>115</v>
      </c>
      <c r="H15" s="10">
        <f t="shared" si="1"/>
        <v>0.004291455582672299</v>
      </c>
      <c r="I15" s="10"/>
      <c r="J15" s="98">
        <v>0.0046</v>
      </c>
      <c r="K15" s="10"/>
      <c r="L15" s="98">
        <f t="shared" si="2"/>
        <v>1.9740695680292575E-05</v>
      </c>
    </row>
    <row r="16" spans="1:12" ht="15">
      <c r="A16" s="94">
        <v>8</v>
      </c>
      <c r="B16" s="98">
        <f>1-NORMDIST(8,B$2,B$3,1)</f>
        <v>3.3874714144843665E-10</v>
      </c>
      <c r="C16" s="87"/>
      <c r="D16" s="95" t="s">
        <v>66</v>
      </c>
      <c r="E16" s="10">
        <f t="shared" si="0"/>
        <v>3.3874714144843665E-10</v>
      </c>
      <c r="F16" s="10"/>
      <c r="G16" s="99" t="s">
        <v>116</v>
      </c>
      <c r="H16" s="10">
        <f t="shared" si="1"/>
        <v>3.3874714144843665E-07</v>
      </c>
      <c r="I16" s="10"/>
      <c r="J16" s="98">
        <v>0.006599999999999998</v>
      </c>
      <c r="K16" s="10"/>
      <c r="L16" s="98">
        <f t="shared" si="2"/>
        <v>2.235731133559681E-09</v>
      </c>
    </row>
    <row r="17" spans="1:12" ht="15">
      <c r="A17" s="94">
        <v>10</v>
      </c>
      <c r="B17" s="98">
        <f>1-NORMDIST(10,B$2,B$3,1)</f>
        <v>0</v>
      </c>
      <c r="C17" s="87"/>
      <c r="D17" s="95" t="s">
        <v>67</v>
      </c>
      <c r="E17" s="10">
        <f t="shared" si="0"/>
        <v>0</v>
      </c>
      <c r="F17" s="10"/>
      <c r="G17" s="99" t="s">
        <v>117</v>
      </c>
      <c r="H17" s="10">
        <f t="shared" si="1"/>
        <v>0</v>
      </c>
      <c r="I17" s="10"/>
      <c r="J17" s="98">
        <v>0.0079</v>
      </c>
      <c r="K17" s="10"/>
      <c r="L17" s="98">
        <f t="shared" si="2"/>
        <v>0</v>
      </c>
    </row>
    <row r="18" spans="1:12" ht="15">
      <c r="A18" s="94">
        <v>12</v>
      </c>
      <c r="B18" s="98">
        <f>1-NORMDIST(12,B$2,B$3,1)</f>
        <v>0</v>
      </c>
      <c r="C18" s="87"/>
      <c r="D18" s="95" t="s">
        <v>68</v>
      </c>
      <c r="E18" s="10">
        <f t="shared" si="0"/>
        <v>0</v>
      </c>
      <c r="F18" s="10"/>
      <c r="G18" s="99" t="s">
        <v>118</v>
      </c>
      <c r="H18" s="10">
        <f t="shared" si="1"/>
        <v>0</v>
      </c>
      <c r="I18" s="10"/>
      <c r="J18" s="98">
        <v>0.010099999999999998</v>
      </c>
      <c r="K18" s="10"/>
      <c r="L18" s="98">
        <f t="shared" si="2"/>
        <v>0</v>
      </c>
    </row>
    <row r="19" spans="1:12" ht="15">
      <c r="A19" s="94">
        <v>14</v>
      </c>
      <c r="B19" s="98">
        <f>1-NORMDIST(14,B$2,B$3,1)</f>
        <v>0</v>
      </c>
      <c r="C19" s="87"/>
      <c r="D19" s="95" t="s">
        <v>69</v>
      </c>
      <c r="E19" s="10">
        <f t="shared" si="0"/>
        <v>0</v>
      </c>
      <c r="F19" s="10"/>
      <c r="G19" s="99" t="s">
        <v>154</v>
      </c>
      <c r="H19" s="10">
        <f t="shared" si="1"/>
        <v>0</v>
      </c>
      <c r="I19" s="10"/>
      <c r="J19" s="98">
        <v>0.0116</v>
      </c>
      <c r="K19" s="10"/>
      <c r="L19" s="98">
        <f t="shared" si="2"/>
        <v>0</v>
      </c>
    </row>
    <row r="20" spans="1:12" ht="15">
      <c r="A20" s="94">
        <v>16</v>
      </c>
      <c r="B20" s="98">
        <f>1-NORMDIST(16,B$2,B$3,1)</f>
        <v>0</v>
      </c>
      <c r="C20" s="87"/>
      <c r="D20" s="95" t="s">
        <v>70</v>
      </c>
      <c r="E20" s="10">
        <f t="shared" si="0"/>
        <v>0</v>
      </c>
      <c r="F20" s="10"/>
      <c r="G20" s="99" t="s">
        <v>119</v>
      </c>
      <c r="H20" s="10">
        <f t="shared" si="1"/>
        <v>0</v>
      </c>
      <c r="I20" s="10"/>
      <c r="J20" s="98">
        <v>0.0131</v>
      </c>
      <c r="K20" s="10"/>
      <c r="L20" s="98">
        <f t="shared" si="2"/>
        <v>0</v>
      </c>
    </row>
    <row r="21" spans="1:12" ht="15">
      <c r="A21" s="94">
        <v>18</v>
      </c>
      <c r="B21" s="98">
        <f>1-NORMDIST(18,B$2,B$3,1)</f>
        <v>0</v>
      </c>
      <c r="C21" s="87"/>
      <c r="D21" s="95" t="s">
        <v>71</v>
      </c>
      <c r="E21" s="10">
        <f t="shared" si="0"/>
        <v>0</v>
      </c>
      <c r="F21" s="10"/>
      <c r="G21" s="99" t="s">
        <v>120</v>
      </c>
      <c r="H21" s="10">
        <f t="shared" si="1"/>
        <v>0</v>
      </c>
      <c r="I21" s="10"/>
      <c r="J21" s="98">
        <v>0.015599999999999996</v>
      </c>
      <c r="K21" s="10"/>
      <c r="L21" s="98">
        <f t="shared" si="2"/>
        <v>0</v>
      </c>
    </row>
    <row r="22" spans="1:12" ht="15">
      <c r="A22" s="94">
        <v>20</v>
      </c>
      <c r="B22" s="98">
        <f>1-NORMDIST(20,B$2,B$3,1)</f>
        <v>0</v>
      </c>
      <c r="C22" s="88"/>
      <c r="D22" s="95" t="s">
        <v>72</v>
      </c>
      <c r="E22" s="10">
        <f t="shared" si="0"/>
        <v>0</v>
      </c>
      <c r="F22" s="10"/>
      <c r="G22" s="99" t="s">
        <v>121</v>
      </c>
      <c r="H22" s="10">
        <f t="shared" si="1"/>
        <v>0</v>
      </c>
      <c r="I22" s="10"/>
      <c r="J22" s="98">
        <v>0.017299999999999996</v>
      </c>
      <c r="K22" s="10"/>
      <c r="L22" s="98">
        <f t="shared" si="2"/>
        <v>0</v>
      </c>
    </row>
    <row r="23" spans="1:12" s="9" customFormat="1" ht="15">
      <c r="A23" s="94">
        <v>22</v>
      </c>
      <c r="B23" s="98">
        <f>1-NORMDIST(A23,B$2,B$3,1)</f>
        <v>0</v>
      </c>
      <c r="C23" s="85"/>
      <c r="D23" s="92" t="s">
        <v>73</v>
      </c>
      <c r="E23" s="10">
        <f t="shared" si="0"/>
        <v>0</v>
      </c>
      <c r="F23" s="8"/>
      <c r="G23" s="99" t="s">
        <v>122</v>
      </c>
      <c r="H23" s="10">
        <f t="shared" si="1"/>
        <v>0</v>
      </c>
      <c r="I23" s="10"/>
      <c r="J23" s="98">
        <v>0.0199</v>
      </c>
      <c r="K23" s="10"/>
      <c r="L23" s="98">
        <f t="shared" si="2"/>
        <v>0</v>
      </c>
    </row>
    <row r="24" spans="1:12" ht="15">
      <c r="A24" s="94">
        <v>24</v>
      </c>
      <c r="B24" s="98">
        <f aca="true" t="shared" si="3" ref="B24:B62">1-NORMDIST(A24,B$2,B$3,1)</f>
        <v>0</v>
      </c>
      <c r="C24" s="76"/>
      <c r="D24" s="96" t="s">
        <v>74</v>
      </c>
      <c r="E24" s="10">
        <f t="shared" si="0"/>
        <v>0</v>
      </c>
      <c r="G24" s="99" t="s">
        <v>155</v>
      </c>
      <c r="H24" s="10">
        <f t="shared" si="1"/>
        <v>0</v>
      </c>
      <c r="I24" s="10"/>
      <c r="J24" s="98">
        <v>0.0218</v>
      </c>
      <c r="K24" s="10"/>
      <c r="L24" s="98">
        <f t="shared" si="2"/>
        <v>0</v>
      </c>
    </row>
    <row r="25" spans="1:12" ht="15">
      <c r="A25" s="94">
        <v>26</v>
      </c>
      <c r="B25" s="98">
        <f t="shared" si="3"/>
        <v>0</v>
      </c>
      <c r="C25" s="76"/>
      <c r="D25" s="96" t="s">
        <v>75</v>
      </c>
      <c r="E25" s="10">
        <f t="shared" si="0"/>
        <v>0</v>
      </c>
      <c r="G25" s="99" t="s">
        <v>123</v>
      </c>
      <c r="H25" s="10">
        <f t="shared" si="1"/>
        <v>0</v>
      </c>
      <c r="I25" s="10"/>
      <c r="J25" s="98">
        <v>0.0237</v>
      </c>
      <c r="K25" s="10"/>
      <c r="L25" s="98">
        <f t="shared" si="2"/>
        <v>0</v>
      </c>
    </row>
    <row r="26" spans="1:12" ht="15">
      <c r="A26" s="94">
        <v>28</v>
      </c>
      <c r="B26" s="98">
        <f t="shared" si="3"/>
        <v>0</v>
      </c>
      <c r="C26" s="76"/>
      <c r="D26" s="96" t="s">
        <v>76</v>
      </c>
      <c r="E26" s="10">
        <f t="shared" si="0"/>
        <v>0</v>
      </c>
      <c r="G26" s="99" t="s">
        <v>124</v>
      </c>
      <c r="H26" s="10">
        <f t="shared" si="1"/>
        <v>0</v>
      </c>
      <c r="I26" s="10"/>
      <c r="J26" s="98">
        <v>0.0267</v>
      </c>
      <c r="K26" s="10"/>
      <c r="L26" s="98">
        <f t="shared" si="2"/>
        <v>0</v>
      </c>
    </row>
    <row r="27" spans="1:12" ht="15">
      <c r="A27" s="94">
        <v>30</v>
      </c>
      <c r="B27" s="98">
        <f t="shared" si="3"/>
        <v>0</v>
      </c>
      <c r="C27" s="76"/>
      <c r="D27" s="96" t="s">
        <v>77</v>
      </c>
      <c r="E27" s="10">
        <f t="shared" si="0"/>
        <v>0</v>
      </c>
      <c r="F27" s="77"/>
      <c r="G27" s="99" t="s">
        <v>125</v>
      </c>
      <c r="H27" s="10">
        <f t="shared" si="1"/>
        <v>0</v>
      </c>
      <c r="I27" s="10"/>
      <c r="J27" s="98">
        <v>0.0288</v>
      </c>
      <c r="K27" s="10"/>
      <c r="L27" s="98">
        <f t="shared" si="2"/>
        <v>0</v>
      </c>
    </row>
    <row r="28" spans="1:12" ht="15">
      <c r="A28" s="94">
        <v>32</v>
      </c>
      <c r="B28" s="98">
        <f t="shared" si="3"/>
        <v>0</v>
      </c>
      <c r="C28" s="76"/>
      <c r="D28" s="96" t="s">
        <v>78</v>
      </c>
      <c r="E28" s="10">
        <f t="shared" si="0"/>
        <v>0</v>
      </c>
      <c r="G28" s="99" t="s">
        <v>126</v>
      </c>
      <c r="H28" s="10">
        <f t="shared" si="1"/>
        <v>0</v>
      </c>
      <c r="I28" s="10"/>
      <c r="J28" s="98">
        <v>0.032</v>
      </c>
      <c r="K28" s="10"/>
      <c r="L28" s="98">
        <f t="shared" si="2"/>
        <v>0</v>
      </c>
    </row>
    <row r="29" spans="1:12" ht="15">
      <c r="A29" s="94">
        <v>34</v>
      </c>
      <c r="B29" s="98">
        <f t="shared" si="3"/>
        <v>0</v>
      </c>
      <c r="C29" s="76"/>
      <c r="D29" s="96" t="s">
        <v>79</v>
      </c>
      <c r="E29" s="10">
        <f t="shared" si="0"/>
        <v>0</v>
      </c>
      <c r="G29" s="99" t="s">
        <v>156</v>
      </c>
      <c r="H29" s="10">
        <f t="shared" si="1"/>
        <v>0</v>
      </c>
      <c r="I29" s="10"/>
      <c r="J29" s="98">
        <v>0.0343</v>
      </c>
      <c r="K29" s="10"/>
      <c r="L29" s="98">
        <f t="shared" si="2"/>
        <v>0</v>
      </c>
    </row>
    <row r="30" spans="1:12" ht="15">
      <c r="A30" s="94">
        <v>36</v>
      </c>
      <c r="B30" s="98">
        <f t="shared" si="3"/>
        <v>0</v>
      </c>
      <c r="C30" s="76"/>
      <c r="D30" s="96" t="s">
        <v>80</v>
      </c>
      <c r="E30" s="10">
        <f t="shared" si="0"/>
        <v>0</v>
      </c>
      <c r="F30" s="77"/>
      <c r="G30" s="99" t="s">
        <v>127</v>
      </c>
      <c r="H30" s="10">
        <f t="shared" si="1"/>
        <v>0</v>
      </c>
      <c r="I30" s="10"/>
      <c r="J30" s="98">
        <v>0.0366</v>
      </c>
      <c r="K30" s="10"/>
      <c r="L30" s="98">
        <f t="shared" si="2"/>
        <v>0</v>
      </c>
    </row>
    <row r="31" spans="1:12" ht="15">
      <c r="A31" s="94">
        <v>38</v>
      </c>
      <c r="B31" s="98">
        <f t="shared" si="3"/>
        <v>0</v>
      </c>
      <c r="C31" s="76"/>
      <c r="D31" s="96" t="s">
        <v>81</v>
      </c>
      <c r="E31" s="10">
        <f t="shared" si="0"/>
        <v>0</v>
      </c>
      <c r="G31" s="99" t="s">
        <v>128</v>
      </c>
      <c r="H31" s="10">
        <f t="shared" si="1"/>
        <v>0</v>
      </c>
      <c r="I31" s="10"/>
      <c r="J31" s="98">
        <v>0.0402</v>
      </c>
      <c r="K31" s="10"/>
      <c r="L31" s="98">
        <f t="shared" si="2"/>
        <v>0</v>
      </c>
    </row>
    <row r="32" spans="1:12" ht="15">
      <c r="A32" s="94">
        <v>40</v>
      </c>
      <c r="B32" s="98">
        <f t="shared" si="3"/>
        <v>0</v>
      </c>
      <c r="C32" s="76"/>
      <c r="D32" s="96" t="s">
        <v>82</v>
      </c>
      <c r="E32" s="10">
        <f t="shared" si="0"/>
        <v>0</v>
      </c>
      <c r="G32" s="99" t="s">
        <v>129</v>
      </c>
      <c r="H32" s="10">
        <f t="shared" si="1"/>
        <v>0</v>
      </c>
      <c r="I32" s="10"/>
      <c r="J32" s="98">
        <v>0.0427</v>
      </c>
      <c r="K32" s="10"/>
      <c r="L32" s="98">
        <f t="shared" si="2"/>
        <v>0</v>
      </c>
    </row>
    <row r="33" spans="1:12" ht="15">
      <c r="A33" s="94">
        <v>42</v>
      </c>
      <c r="B33" s="98">
        <f t="shared" si="3"/>
        <v>0</v>
      </c>
      <c r="C33" s="76"/>
      <c r="D33" s="96" t="s">
        <v>83</v>
      </c>
      <c r="E33" s="10">
        <f t="shared" si="0"/>
        <v>0</v>
      </c>
      <c r="G33" s="99" t="s">
        <v>130</v>
      </c>
      <c r="H33" s="10">
        <f t="shared" si="1"/>
        <v>0</v>
      </c>
      <c r="I33" s="10"/>
      <c r="J33" s="98">
        <v>0.0466</v>
      </c>
      <c r="K33" s="10"/>
      <c r="L33" s="98">
        <f t="shared" si="2"/>
        <v>0</v>
      </c>
    </row>
    <row r="34" spans="1:12" ht="15">
      <c r="A34" s="94">
        <v>44</v>
      </c>
      <c r="B34" s="98">
        <f t="shared" si="3"/>
        <v>0</v>
      </c>
      <c r="C34" s="76"/>
      <c r="D34" s="96" t="s">
        <v>84</v>
      </c>
      <c r="E34" s="10">
        <f t="shared" si="0"/>
        <v>0</v>
      </c>
      <c r="G34" s="99" t="s">
        <v>157</v>
      </c>
      <c r="H34" s="10">
        <f t="shared" si="1"/>
        <v>0</v>
      </c>
      <c r="J34" s="98">
        <v>0.0493</v>
      </c>
      <c r="L34" s="98">
        <f t="shared" si="2"/>
        <v>0</v>
      </c>
    </row>
    <row r="35" spans="1:12" ht="15">
      <c r="A35" s="94">
        <v>46</v>
      </c>
      <c r="B35" s="98">
        <f t="shared" si="3"/>
        <v>0</v>
      </c>
      <c r="C35" s="75"/>
      <c r="D35" s="92" t="s">
        <v>85</v>
      </c>
      <c r="E35" s="10">
        <f t="shared" si="0"/>
        <v>0</v>
      </c>
      <c r="G35" s="99" t="s">
        <v>131</v>
      </c>
      <c r="H35" s="10">
        <f t="shared" si="1"/>
        <v>0</v>
      </c>
      <c r="J35" s="101">
        <v>0.052099999999999994</v>
      </c>
      <c r="L35" s="98">
        <f t="shared" si="2"/>
        <v>0</v>
      </c>
    </row>
    <row r="36" spans="1:12" ht="15">
      <c r="A36" s="94">
        <v>48</v>
      </c>
      <c r="B36" s="98">
        <f t="shared" si="3"/>
        <v>0</v>
      </c>
      <c r="C36" s="74"/>
      <c r="D36" s="97" t="s">
        <v>86</v>
      </c>
      <c r="E36" s="10">
        <f t="shared" si="0"/>
        <v>0</v>
      </c>
      <c r="G36" s="99" t="s">
        <v>132</v>
      </c>
      <c r="H36" s="10">
        <f t="shared" si="1"/>
        <v>0</v>
      </c>
      <c r="I36" s="69"/>
      <c r="J36" s="101">
        <v>0.056499999999999995</v>
      </c>
      <c r="K36" s="69"/>
      <c r="L36" s="98">
        <f t="shared" si="2"/>
        <v>0</v>
      </c>
    </row>
    <row r="37" spans="1:12" ht="15">
      <c r="A37" s="94">
        <v>50</v>
      </c>
      <c r="B37" s="98">
        <f t="shared" si="3"/>
        <v>0</v>
      </c>
      <c r="C37" s="74"/>
      <c r="D37" s="97" t="s">
        <v>87</v>
      </c>
      <c r="E37" s="10">
        <f t="shared" si="0"/>
        <v>0</v>
      </c>
      <c r="G37" s="99" t="s">
        <v>133</v>
      </c>
      <c r="H37" s="10">
        <f t="shared" si="1"/>
        <v>0</v>
      </c>
      <c r="I37" s="69"/>
      <c r="J37" s="101">
        <v>0.0595</v>
      </c>
      <c r="K37" s="69"/>
      <c r="L37" s="98">
        <f t="shared" si="2"/>
        <v>0</v>
      </c>
    </row>
    <row r="38" spans="1:12" ht="15">
      <c r="A38" s="94">
        <v>52</v>
      </c>
      <c r="B38" s="98">
        <f t="shared" si="3"/>
        <v>0</v>
      </c>
      <c r="C38" s="74"/>
      <c r="D38" s="97" t="s">
        <v>88</v>
      </c>
      <c r="E38" s="10">
        <f t="shared" si="0"/>
        <v>0</v>
      </c>
      <c r="G38" s="99" t="s">
        <v>134</v>
      </c>
      <c r="H38" s="10">
        <f t="shared" si="1"/>
        <v>0</v>
      </c>
      <c r="I38" s="69"/>
      <c r="J38" s="101">
        <v>0.0641</v>
      </c>
      <c r="K38" s="69"/>
      <c r="L38" s="98">
        <f t="shared" si="2"/>
        <v>0</v>
      </c>
    </row>
    <row r="39" spans="1:12" ht="15">
      <c r="A39" s="94">
        <v>54</v>
      </c>
      <c r="B39" s="98">
        <f t="shared" si="3"/>
        <v>0</v>
      </c>
      <c r="C39" s="74"/>
      <c r="D39" s="97" t="s">
        <v>89</v>
      </c>
      <c r="E39" s="10">
        <f t="shared" si="0"/>
        <v>0</v>
      </c>
      <c r="G39" s="99" t="s">
        <v>158</v>
      </c>
      <c r="H39" s="10">
        <f t="shared" si="1"/>
        <v>0</v>
      </c>
      <c r="I39" s="69"/>
      <c r="J39" s="101">
        <v>0.0673</v>
      </c>
      <c r="K39" s="69"/>
      <c r="L39" s="98">
        <f t="shared" si="2"/>
        <v>0</v>
      </c>
    </row>
    <row r="40" spans="1:12" ht="15">
      <c r="A40" s="94">
        <v>56</v>
      </c>
      <c r="B40" s="98">
        <f t="shared" si="3"/>
        <v>0</v>
      </c>
      <c r="C40" s="74"/>
      <c r="D40" s="97" t="s">
        <v>90</v>
      </c>
      <c r="E40" s="10">
        <f t="shared" si="0"/>
        <v>0</v>
      </c>
      <c r="G40" s="99" t="s">
        <v>135</v>
      </c>
      <c r="H40" s="10">
        <f t="shared" si="1"/>
        <v>0</v>
      </c>
      <c r="I40" s="69"/>
      <c r="J40" s="101">
        <v>0.0706</v>
      </c>
      <c r="K40" s="69"/>
      <c r="L40" s="98">
        <f t="shared" si="2"/>
        <v>0</v>
      </c>
    </row>
    <row r="41" spans="1:12" ht="15">
      <c r="A41" s="94">
        <v>58</v>
      </c>
      <c r="B41" s="98">
        <f t="shared" si="3"/>
        <v>0</v>
      </c>
      <c r="C41" s="74"/>
      <c r="D41" s="97" t="s">
        <v>91</v>
      </c>
      <c r="E41" s="10">
        <f t="shared" si="0"/>
        <v>0</v>
      </c>
      <c r="G41" s="99" t="s">
        <v>136</v>
      </c>
      <c r="H41" s="10">
        <f t="shared" si="1"/>
        <v>0</v>
      </c>
      <c r="I41" s="69"/>
      <c r="J41" s="101">
        <v>0.0757</v>
      </c>
      <c r="K41" s="69"/>
      <c r="L41" s="98">
        <f t="shared" si="2"/>
        <v>0</v>
      </c>
    </row>
    <row r="42" spans="1:12" ht="15">
      <c r="A42" s="94">
        <v>60</v>
      </c>
      <c r="B42" s="98">
        <f t="shared" si="3"/>
        <v>0</v>
      </c>
      <c r="C42" s="74"/>
      <c r="D42" s="97" t="s">
        <v>92</v>
      </c>
      <c r="E42" s="10">
        <f t="shared" si="0"/>
        <v>0</v>
      </c>
      <c r="G42" s="99" t="s">
        <v>137</v>
      </c>
      <c r="H42" s="10">
        <f t="shared" si="1"/>
        <v>0</v>
      </c>
      <c r="I42" s="69"/>
      <c r="J42" s="101">
        <v>0.07919999999999999</v>
      </c>
      <c r="K42" s="69"/>
      <c r="L42" s="98">
        <f t="shared" si="2"/>
        <v>0</v>
      </c>
    </row>
    <row r="43" spans="1:12" ht="15">
      <c r="A43" s="94">
        <v>62</v>
      </c>
      <c r="B43" s="98">
        <f t="shared" si="3"/>
        <v>0</v>
      </c>
      <c r="C43" s="74"/>
      <c r="D43" s="97" t="s">
        <v>93</v>
      </c>
      <c r="E43" s="10">
        <f t="shared" si="0"/>
        <v>0</v>
      </c>
      <c r="G43" s="99" t="s">
        <v>138</v>
      </c>
      <c r="H43" s="10">
        <f t="shared" si="1"/>
        <v>0</v>
      </c>
      <c r="I43" s="69"/>
      <c r="J43" s="101">
        <v>0.0847</v>
      </c>
      <c r="K43" s="69"/>
      <c r="L43" s="98">
        <f t="shared" si="2"/>
        <v>0</v>
      </c>
    </row>
    <row r="44" spans="1:12" ht="15">
      <c r="A44" s="94">
        <v>64</v>
      </c>
      <c r="B44" s="98">
        <f t="shared" si="3"/>
        <v>0</v>
      </c>
      <c r="C44" s="74"/>
      <c r="D44" s="97" t="s">
        <v>94</v>
      </c>
      <c r="E44" s="10">
        <f t="shared" si="0"/>
        <v>0</v>
      </c>
      <c r="G44" s="99" t="s">
        <v>159</v>
      </c>
      <c r="H44" s="10">
        <f t="shared" si="1"/>
        <v>0</v>
      </c>
      <c r="I44" s="69"/>
      <c r="J44" s="101">
        <v>0.08839999999999999</v>
      </c>
      <c r="K44" s="69"/>
      <c r="L44" s="98">
        <f t="shared" si="2"/>
        <v>0</v>
      </c>
    </row>
    <row r="45" spans="1:12" ht="15">
      <c r="A45" s="94">
        <v>66</v>
      </c>
      <c r="B45" s="98">
        <f t="shared" si="3"/>
        <v>0</v>
      </c>
      <c r="C45" s="74"/>
      <c r="D45" s="97" t="s">
        <v>95</v>
      </c>
      <c r="E45" s="10">
        <f t="shared" si="0"/>
        <v>0</v>
      </c>
      <c r="G45" s="99" t="s">
        <v>139</v>
      </c>
      <c r="H45" s="10">
        <f t="shared" si="1"/>
        <v>0</v>
      </c>
      <c r="I45" s="69"/>
      <c r="J45" s="101">
        <v>0.0923</v>
      </c>
      <c r="K45" s="69"/>
      <c r="L45" s="98">
        <f t="shared" si="2"/>
        <v>0</v>
      </c>
    </row>
    <row r="46" spans="1:12" ht="15">
      <c r="A46" s="94">
        <v>68</v>
      </c>
      <c r="B46" s="98">
        <f t="shared" si="3"/>
        <v>0</v>
      </c>
      <c r="C46" s="74"/>
      <c r="D46" s="97" t="s">
        <v>96</v>
      </c>
      <c r="E46" s="10">
        <f t="shared" si="0"/>
        <v>0</v>
      </c>
      <c r="G46" s="100" t="s">
        <v>140</v>
      </c>
      <c r="H46" s="10">
        <f t="shared" si="1"/>
        <v>0</v>
      </c>
      <c r="I46" s="69"/>
      <c r="J46" s="101">
        <v>0.0982</v>
      </c>
      <c r="K46" s="69"/>
      <c r="L46" s="98">
        <f t="shared" si="2"/>
        <v>0</v>
      </c>
    </row>
    <row r="47" spans="1:12" ht="15">
      <c r="A47" s="94">
        <v>70</v>
      </c>
      <c r="B47" s="98">
        <f t="shared" si="3"/>
        <v>0</v>
      </c>
      <c r="C47" s="78"/>
      <c r="D47" s="93" t="s">
        <v>97</v>
      </c>
      <c r="E47" s="10">
        <f t="shared" si="0"/>
        <v>0</v>
      </c>
      <c r="G47" s="100" t="s">
        <v>141</v>
      </c>
      <c r="H47" s="10">
        <f t="shared" si="1"/>
        <v>0</v>
      </c>
      <c r="I47" s="16"/>
      <c r="J47" s="101">
        <v>0.10229999999999999</v>
      </c>
      <c r="K47" s="16"/>
      <c r="L47" s="98">
        <f t="shared" si="2"/>
        <v>0</v>
      </c>
    </row>
    <row r="48" spans="1:12" ht="15">
      <c r="A48" s="94">
        <v>72</v>
      </c>
      <c r="B48" s="98">
        <f t="shared" si="3"/>
        <v>0</v>
      </c>
      <c r="C48" s="79"/>
      <c r="D48" s="69" t="s">
        <v>98</v>
      </c>
      <c r="E48" s="10">
        <f t="shared" si="0"/>
        <v>0</v>
      </c>
      <c r="F48" s="9"/>
      <c r="G48" s="100" t="s">
        <v>142</v>
      </c>
      <c r="H48" s="10">
        <f t="shared" si="1"/>
        <v>0</v>
      </c>
      <c r="J48" s="98">
        <v>0.10859999999999999</v>
      </c>
      <c r="L48" s="98">
        <f t="shared" si="2"/>
        <v>0</v>
      </c>
    </row>
    <row r="49" spans="1:12" ht="15">
      <c r="A49" s="94">
        <v>74</v>
      </c>
      <c r="B49" s="98">
        <f t="shared" si="3"/>
        <v>0</v>
      </c>
      <c r="D49" s="93" t="s">
        <v>99</v>
      </c>
      <c r="E49" s="10">
        <f t="shared" si="0"/>
        <v>0</v>
      </c>
      <c r="G49" s="100" t="s">
        <v>160</v>
      </c>
      <c r="H49" s="10">
        <f t="shared" si="1"/>
        <v>0</v>
      </c>
      <c r="J49" s="98">
        <v>0.11289999999999999</v>
      </c>
      <c r="L49" s="98">
        <f t="shared" si="2"/>
        <v>0</v>
      </c>
    </row>
    <row r="50" spans="1:12" ht="15">
      <c r="A50" s="94">
        <v>76</v>
      </c>
      <c r="B50" s="98">
        <f t="shared" si="3"/>
        <v>0</v>
      </c>
      <c r="D50" s="93" t="s">
        <v>100</v>
      </c>
      <c r="E50" s="10">
        <f t="shared" si="0"/>
        <v>0</v>
      </c>
      <c r="G50" s="100" t="s">
        <v>143</v>
      </c>
      <c r="H50" s="10">
        <f t="shared" si="1"/>
        <v>0</v>
      </c>
      <c r="I50" s="80"/>
      <c r="J50" s="98">
        <v>0.1173</v>
      </c>
      <c r="K50" s="80"/>
      <c r="L50" s="98">
        <f t="shared" si="2"/>
        <v>0</v>
      </c>
    </row>
    <row r="51" spans="1:12" ht="15">
      <c r="A51" s="94">
        <v>78</v>
      </c>
      <c r="B51" s="98">
        <f t="shared" si="3"/>
        <v>0</v>
      </c>
      <c r="D51" s="93" t="s">
        <v>101</v>
      </c>
      <c r="E51" s="10">
        <f t="shared" si="0"/>
        <v>0</v>
      </c>
      <c r="G51" s="100" t="s">
        <v>144</v>
      </c>
      <c r="H51" s="10">
        <f t="shared" si="1"/>
        <v>0</v>
      </c>
      <c r="J51" s="98">
        <v>0.1241</v>
      </c>
      <c r="L51" s="98">
        <f t="shared" si="2"/>
        <v>0</v>
      </c>
    </row>
    <row r="52" spans="1:12" ht="15">
      <c r="A52" s="94">
        <v>80</v>
      </c>
      <c r="B52" s="98">
        <f t="shared" si="3"/>
        <v>0</v>
      </c>
      <c r="D52" s="93" t="s">
        <v>102</v>
      </c>
      <c r="E52" s="10">
        <f t="shared" si="0"/>
        <v>0</v>
      </c>
      <c r="G52" s="100" t="s">
        <v>145</v>
      </c>
      <c r="H52" s="10">
        <f t="shared" si="1"/>
        <v>0</v>
      </c>
      <c r="J52" s="98">
        <v>0.12869999999999998</v>
      </c>
      <c r="L52" s="98">
        <f t="shared" si="2"/>
        <v>0</v>
      </c>
    </row>
    <row r="53" spans="1:12" ht="15">
      <c r="A53" s="94">
        <v>82</v>
      </c>
      <c r="B53" s="98">
        <f t="shared" si="3"/>
        <v>0</v>
      </c>
      <c r="D53" s="93" t="s">
        <v>103</v>
      </c>
      <c r="E53" s="10">
        <f t="shared" si="0"/>
        <v>0</v>
      </c>
      <c r="G53" s="100" t="s">
        <v>146</v>
      </c>
      <c r="H53" s="10">
        <f t="shared" si="1"/>
        <v>0</v>
      </c>
      <c r="J53" s="98">
        <v>0.13590000000000002</v>
      </c>
      <c r="L53" s="98">
        <f t="shared" si="2"/>
        <v>0</v>
      </c>
    </row>
    <row r="54" spans="1:12" ht="15">
      <c r="A54" s="94">
        <v>84</v>
      </c>
      <c r="B54" s="98">
        <f t="shared" si="3"/>
        <v>0</v>
      </c>
      <c r="D54" s="93" t="s">
        <v>104</v>
      </c>
      <c r="E54" s="10">
        <f t="shared" si="0"/>
        <v>0</v>
      </c>
      <c r="G54" s="100" t="s">
        <v>161</v>
      </c>
      <c r="H54" s="10">
        <f t="shared" si="1"/>
        <v>0</v>
      </c>
      <c r="J54" s="98">
        <v>0.1407</v>
      </c>
      <c r="L54" s="98">
        <f t="shared" si="2"/>
        <v>0</v>
      </c>
    </row>
    <row r="55" spans="1:12" ht="15">
      <c r="A55" s="94">
        <v>86</v>
      </c>
      <c r="B55" s="98">
        <f t="shared" si="3"/>
        <v>0</v>
      </c>
      <c r="D55" s="93" t="s">
        <v>105</v>
      </c>
      <c r="E55" s="10">
        <f t="shared" si="0"/>
        <v>0</v>
      </c>
      <c r="G55" s="100" t="s">
        <v>147</v>
      </c>
      <c r="H55" s="10">
        <f t="shared" si="1"/>
        <v>0</v>
      </c>
      <c r="J55" s="98">
        <v>0.1457</v>
      </c>
      <c r="L55" s="98">
        <f t="shared" si="2"/>
        <v>0</v>
      </c>
    </row>
    <row r="56" spans="1:12" ht="15">
      <c r="A56" s="94">
        <v>88</v>
      </c>
      <c r="B56" s="98">
        <f t="shared" si="3"/>
        <v>0</v>
      </c>
      <c r="D56" s="93" t="s">
        <v>106</v>
      </c>
      <c r="E56" s="10">
        <f t="shared" si="0"/>
        <v>0</v>
      </c>
      <c r="G56" s="100" t="s">
        <v>148</v>
      </c>
      <c r="H56" s="10">
        <f t="shared" si="1"/>
        <v>0</v>
      </c>
      <c r="J56" s="98">
        <v>0.15339999999999998</v>
      </c>
      <c r="L56" s="98">
        <f t="shared" si="2"/>
        <v>0</v>
      </c>
    </row>
    <row r="57" spans="1:12" ht="15">
      <c r="A57" s="94">
        <v>90</v>
      </c>
      <c r="B57" s="98">
        <f t="shared" si="3"/>
        <v>0</v>
      </c>
      <c r="D57" s="93" t="s">
        <v>107</v>
      </c>
      <c r="E57" s="10">
        <f t="shared" si="0"/>
        <v>0</v>
      </c>
      <c r="G57" s="100" t="s">
        <v>149</v>
      </c>
      <c r="H57" s="10">
        <f t="shared" si="1"/>
        <v>0</v>
      </c>
      <c r="J57" s="98">
        <v>0.15860000000000002</v>
      </c>
      <c r="L57" s="98">
        <f t="shared" si="2"/>
        <v>0</v>
      </c>
    </row>
    <row r="58" spans="1:12" ht="15">
      <c r="A58" s="94">
        <v>92</v>
      </c>
      <c r="B58" s="98">
        <f t="shared" si="3"/>
        <v>0</v>
      </c>
      <c r="D58" s="93" t="s">
        <v>108</v>
      </c>
      <c r="E58" s="10">
        <f t="shared" si="0"/>
        <v>0</v>
      </c>
      <c r="G58" s="100" t="s">
        <v>150</v>
      </c>
      <c r="H58" s="10">
        <f t="shared" si="1"/>
        <v>0</v>
      </c>
      <c r="J58" s="98">
        <v>0.16660000000000003</v>
      </c>
      <c r="L58" s="98">
        <f t="shared" si="2"/>
        <v>0</v>
      </c>
    </row>
    <row r="59" spans="1:12" ht="15">
      <c r="A59" s="94">
        <v>94</v>
      </c>
      <c r="B59" s="98">
        <f t="shared" si="3"/>
        <v>0</v>
      </c>
      <c r="D59" s="93" t="s">
        <v>109</v>
      </c>
      <c r="E59" s="10">
        <f t="shared" si="0"/>
        <v>0</v>
      </c>
      <c r="G59" s="100" t="s">
        <v>162</v>
      </c>
      <c r="H59" s="10">
        <f t="shared" si="1"/>
        <v>0</v>
      </c>
      <c r="J59" s="98">
        <v>0.17209999999999998</v>
      </c>
      <c r="L59" s="98">
        <f t="shared" si="2"/>
        <v>0</v>
      </c>
    </row>
    <row r="60" spans="1:12" ht="15">
      <c r="A60" s="94">
        <v>96</v>
      </c>
      <c r="B60" s="98">
        <f t="shared" si="3"/>
        <v>0</v>
      </c>
      <c r="D60" s="93" t="s">
        <v>110</v>
      </c>
      <c r="E60" s="10">
        <f t="shared" si="0"/>
        <v>0</v>
      </c>
      <c r="G60" s="100" t="s">
        <v>151</v>
      </c>
      <c r="H60" s="10">
        <f t="shared" si="1"/>
        <v>0</v>
      </c>
      <c r="J60" s="98">
        <v>0.17770000000000002</v>
      </c>
      <c r="L60" s="98">
        <f t="shared" si="2"/>
        <v>0</v>
      </c>
    </row>
    <row r="61" spans="1:12" ht="15">
      <c r="A61" s="94">
        <v>98</v>
      </c>
      <c r="B61" s="98">
        <f t="shared" si="3"/>
        <v>0</v>
      </c>
      <c r="D61" s="93" t="s">
        <v>111</v>
      </c>
      <c r="E61" s="10">
        <f t="shared" si="0"/>
        <v>0</v>
      </c>
      <c r="G61" s="100" t="s">
        <v>152</v>
      </c>
      <c r="H61" s="10">
        <f t="shared" si="1"/>
        <v>0</v>
      </c>
      <c r="J61" s="98">
        <v>0.18619999999999998</v>
      </c>
      <c r="L61" s="98">
        <f t="shared" si="2"/>
        <v>0</v>
      </c>
    </row>
    <row r="62" spans="1:12" ht="15">
      <c r="A62" s="94">
        <v>100</v>
      </c>
      <c r="B62" s="98">
        <f t="shared" si="3"/>
        <v>0</v>
      </c>
      <c r="D62" s="93" t="s">
        <v>112</v>
      </c>
      <c r="E62" s="10">
        <f>B62-0</f>
        <v>0</v>
      </c>
      <c r="G62" s="100" t="s">
        <v>163</v>
      </c>
      <c r="H62" s="10">
        <f t="shared" si="1"/>
        <v>0</v>
      </c>
      <c r="J62" s="98">
        <v>0.1891</v>
      </c>
      <c r="L62" s="98">
        <f t="shared" si="2"/>
        <v>0</v>
      </c>
    </row>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J28"/>
  <sheetViews>
    <sheetView workbookViewId="0" topLeftCell="A1">
      <selection activeCell="C40" sqref="C40"/>
    </sheetView>
  </sheetViews>
  <sheetFormatPr defaultColWidth="9.140625" defaultRowHeight="12.75"/>
  <cols>
    <col min="1" max="1" width="5.7109375" style="4" customWidth="1"/>
    <col min="2" max="2" width="15.00390625" style="4" customWidth="1"/>
    <col min="3" max="3" width="12.28125" style="4" customWidth="1"/>
    <col min="4" max="4" width="12.57421875" style="4" customWidth="1"/>
    <col min="5" max="5" width="12.140625" style="4" customWidth="1"/>
    <col min="6" max="6" width="12.57421875" style="4" customWidth="1"/>
    <col min="7" max="7" width="11.7109375" style="4" bestFit="1" customWidth="1"/>
    <col min="8" max="8" width="12.28125" style="4" customWidth="1"/>
    <col min="9" max="9" width="11.57421875" style="4" customWidth="1"/>
    <col min="10" max="10" width="11.7109375" style="4" bestFit="1" customWidth="1"/>
    <col min="11" max="11" width="12.00390625" style="4" customWidth="1"/>
    <col min="12" max="12" width="12.8515625" style="4" customWidth="1"/>
    <col min="13" max="13" width="9.00390625" style="4" customWidth="1"/>
    <col min="14" max="14" width="10.28125" style="4" bestFit="1" customWidth="1"/>
    <col min="15" max="15" width="11.28125" style="4" bestFit="1" customWidth="1"/>
    <col min="16" max="16" width="9.57421875" style="4" bestFit="1" customWidth="1"/>
    <col min="17" max="17" width="10.7109375" style="4" bestFit="1" customWidth="1"/>
    <col min="18" max="18" width="9.28125" style="4" bestFit="1" customWidth="1"/>
    <col min="19" max="19" width="9.57421875" style="4" bestFit="1" customWidth="1"/>
    <col min="20" max="16384" width="9.140625" style="4" customWidth="1"/>
  </cols>
  <sheetData>
    <row r="1" spans="1:10" ht="15">
      <c r="A1" s="122"/>
      <c r="B1" s="121" t="s">
        <v>192</v>
      </c>
      <c r="C1" s="122"/>
      <c r="D1" s="122"/>
      <c r="E1" s="122"/>
      <c r="F1" s="122"/>
      <c r="G1" s="122"/>
      <c r="H1" s="122"/>
      <c r="I1" s="122"/>
      <c r="J1" s="122"/>
    </row>
    <row r="2" ht="15"/>
    <row r="3" spans="3:9" ht="15">
      <c r="C3" s="68">
        <f>58728*0.95</f>
        <v>55791.6</v>
      </c>
      <c r="D3" s="20" t="s">
        <v>40</v>
      </c>
      <c r="E3" s="26"/>
      <c r="F3" s="5"/>
      <c r="H3" s="22"/>
      <c r="I3" s="22"/>
    </row>
    <row r="4" spans="3:9" ht="15">
      <c r="C4" s="116">
        <f>'MMR IR'!B7</f>
        <v>0.7703579805408153</v>
      </c>
      <c r="D4" s="20" t="s">
        <v>41</v>
      </c>
      <c r="E4" s="26"/>
      <c r="F4" s="5"/>
      <c r="H4" s="22"/>
      <c r="I4" s="22"/>
    </row>
    <row r="5" spans="3:9" ht="15">
      <c r="C5" s="5"/>
      <c r="D5" s="20"/>
      <c r="E5" s="26"/>
      <c r="F5" s="5"/>
      <c r="H5" s="22"/>
      <c r="I5" s="22"/>
    </row>
    <row r="6" ht="15">
      <c r="B6" s="21" t="s">
        <v>39</v>
      </c>
    </row>
    <row r="7" ht="15">
      <c r="B7" s="21"/>
    </row>
    <row r="8" spans="2:3" ht="15">
      <c r="B8" s="21"/>
      <c r="C8" s="20" t="s">
        <v>17</v>
      </c>
    </row>
    <row r="9" spans="3:6" ht="15">
      <c r="C9" s="28">
        <v>0.03</v>
      </c>
      <c r="D9" s="29" t="s">
        <v>18</v>
      </c>
      <c r="E9" s="30"/>
      <c r="F9" s="4" t="s">
        <v>19</v>
      </c>
    </row>
    <row r="10" spans="2:6" ht="15">
      <c r="B10" s="21"/>
      <c r="C10" s="31">
        <v>0.04</v>
      </c>
      <c r="D10" s="32" t="s">
        <v>20</v>
      </c>
      <c r="E10" s="33"/>
      <c r="F10" s="4" t="s">
        <v>21</v>
      </c>
    </row>
    <row r="11" spans="2:8" ht="15">
      <c r="B11" s="21"/>
      <c r="C11" s="31">
        <v>0.1658</v>
      </c>
      <c r="D11" s="32" t="s">
        <v>22</v>
      </c>
      <c r="E11" s="33"/>
      <c r="F11" s="4" t="s">
        <v>23</v>
      </c>
      <c r="G11" s="22"/>
      <c r="H11" s="22"/>
    </row>
    <row r="12" spans="2:8" ht="15">
      <c r="B12" s="21"/>
      <c r="C12" s="31">
        <v>-0.07</v>
      </c>
      <c r="D12" s="32" t="s">
        <v>24</v>
      </c>
      <c r="E12" s="33"/>
      <c r="G12" s="22"/>
      <c r="H12" s="22"/>
    </row>
    <row r="13" spans="2:8" ht="15">
      <c r="B13" s="20"/>
      <c r="C13" s="34">
        <v>1</v>
      </c>
      <c r="D13" s="35" t="s">
        <v>25</v>
      </c>
      <c r="E13" s="36"/>
      <c r="F13" s="4" t="s">
        <v>26</v>
      </c>
      <c r="G13" s="22"/>
      <c r="H13" s="22"/>
    </row>
    <row r="15" spans="2:10" ht="15.75" thickBot="1">
      <c r="B15" s="121" t="s">
        <v>47</v>
      </c>
      <c r="C15" s="122"/>
      <c r="D15" s="114"/>
      <c r="E15" s="123"/>
      <c r="F15" s="114"/>
      <c r="G15" s="122"/>
      <c r="H15" s="124"/>
      <c r="I15" s="124"/>
      <c r="J15" s="122"/>
    </row>
    <row r="16" spans="2:10" ht="15">
      <c r="B16" s="125" t="s">
        <v>42</v>
      </c>
      <c r="C16" s="126" t="s">
        <v>8</v>
      </c>
      <c r="D16" s="127" t="s">
        <v>27</v>
      </c>
      <c r="E16" s="127" t="s">
        <v>27</v>
      </c>
      <c r="F16" s="128" t="s">
        <v>28</v>
      </c>
      <c r="G16" s="128" t="s">
        <v>29</v>
      </c>
      <c r="H16" s="126" t="s">
        <v>30</v>
      </c>
      <c r="I16" s="129" t="s">
        <v>31</v>
      </c>
      <c r="J16" s="130" t="s">
        <v>32</v>
      </c>
    </row>
    <row r="17" spans="2:10" ht="15">
      <c r="B17" s="131"/>
      <c r="C17" s="132"/>
      <c r="D17" s="132"/>
      <c r="E17" s="133" t="s">
        <v>33</v>
      </c>
      <c r="F17" s="134" t="s">
        <v>34</v>
      </c>
      <c r="G17" s="134" t="s">
        <v>35</v>
      </c>
      <c r="H17" s="132" t="s">
        <v>36</v>
      </c>
      <c r="I17" s="135"/>
      <c r="J17" s="136">
        <v>1000</v>
      </c>
    </row>
    <row r="18" spans="2:10" ht="15">
      <c r="B18" s="43" t="s">
        <v>44</v>
      </c>
      <c r="C18" s="60">
        <f>$C$3/2</f>
        <v>27895.8</v>
      </c>
      <c r="D18" s="70">
        <f>E18*C18/1000</f>
        <v>21.48975215357047</v>
      </c>
      <c r="E18" s="61">
        <f>$C$4</f>
        <v>0.7703579805408153</v>
      </c>
      <c r="F18" s="44">
        <v>0</v>
      </c>
      <c r="G18" s="45">
        <v>80</v>
      </c>
      <c r="H18" s="46">
        <v>0.361</v>
      </c>
      <c r="I18" s="64">
        <f>IF(Rate=0,($D18*$H18)*(Agewt*Const*((EXP(-Beta*$F18))/Beta^2)*((EXP(-Beta*$G18))*(-Beta*($G18+$F18)-1)-(-Beta*$F18-1))+((1-Agewt)*$G18)),+$D18*$H18*(Agewt*((Const*EXP(Rate*$F18))/(BplusR^2))*((EXP(BplusR*($G18+$F18))*(BplusR*($G18+$F18)-1))-(EXP(BplusR*$F18)*(BplusR*$F18-1)))+((1-Agewt)/Rate)*((1-EXP(-Rate*$G18)))))</f>
        <v>256.09212260078164</v>
      </c>
      <c r="J18" s="65">
        <f>1000*I18/C18</f>
        <v>9.180311107793347</v>
      </c>
    </row>
    <row r="19" spans="2:10" ht="15.75" thickBot="1">
      <c r="B19" s="47" t="s">
        <v>45</v>
      </c>
      <c r="C19" s="62">
        <f>$C$3/2</f>
        <v>27895.8</v>
      </c>
      <c r="D19" s="71">
        <f>E19*C19/1000</f>
        <v>21.48975215357047</v>
      </c>
      <c r="E19" s="63">
        <f>$C$4</f>
        <v>0.7703579805408153</v>
      </c>
      <c r="F19" s="48">
        <v>0</v>
      </c>
      <c r="G19" s="49">
        <v>82.5</v>
      </c>
      <c r="H19" s="50">
        <v>0.361</v>
      </c>
      <c r="I19" s="66">
        <f>IF(Rate=0,($D19*$H19)*(Agewt*Const*((EXP(-Beta*$F19))/Beta^2)*((EXP(-Beta*$G19))*(-Beta*($G19+$F19)-1)-(-Beta*$F19-1))+((1-Agewt)*$G19)),+$D19*$H19*(Agewt*((Const*EXP(Rate*$F19))/(BplusR^2))*((EXP(BplusR*($G19+$F19))*(BplusR*($G19+$F19)-1))-(EXP(BplusR*$F19)*(BplusR*$F19-1)))+((1-Agewt)/Rate)*((1-EXP(-Rate*$G19)))))</f>
        <v>256.9780453701973</v>
      </c>
      <c r="J19" s="67">
        <f>1000*I19/C19</f>
        <v>9.21206939289059</v>
      </c>
    </row>
    <row r="20" spans="2:10" ht="15">
      <c r="B20" s="103"/>
      <c r="C20" s="104"/>
      <c r="D20" s="105"/>
      <c r="E20" s="106"/>
      <c r="F20" s="107"/>
      <c r="G20" s="108"/>
      <c r="H20" s="109"/>
      <c r="I20" s="110"/>
      <c r="J20" s="107"/>
    </row>
    <row r="21" spans="3:10" ht="15">
      <c r="C21" s="22"/>
      <c r="D21" s="23"/>
      <c r="E21" s="24"/>
      <c r="F21" s="25"/>
      <c r="G21" s="23"/>
      <c r="H21" s="22"/>
      <c r="I21" s="22"/>
      <c r="J21" s="5"/>
    </row>
    <row r="22" spans="2:10" ht="15.75" thickBot="1">
      <c r="B22" s="121" t="s">
        <v>48</v>
      </c>
      <c r="C22" s="122"/>
      <c r="D22" s="114"/>
      <c r="E22" s="123"/>
      <c r="F22" s="114"/>
      <c r="G22" s="122"/>
      <c r="H22" s="124"/>
      <c r="I22" s="124"/>
      <c r="J22" s="122"/>
    </row>
    <row r="23" spans="2:10" ht="15">
      <c r="B23" s="165" t="s">
        <v>44</v>
      </c>
      <c r="C23" s="166"/>
      <c r="D23" s="167"/>
      <c r="E23" s="165" t="s">
        <v>45</v>
      </c>
      <c r="F23" s="166"/>
      <c r="G23" s="166"/>
      <c r="H23" s="168" t="s">
        <v>43</v>
      </c>
      <c r="I23" s="169"/>
      <c r="J23" s="170"/>
    </row>
    <row r="24" spans="2:10" ht="15">
      <c r="B24" s="37" t="s">
        <v>8</v>
      </c>
      <c r="C24" s="38" t="s">
        <v>37</v>
      </c>
      <c r="D24" s="51" t="s">
        <v>38</v>
      </c>
      <c r="E24" s="37" t="s">
        <v>8</v>
      </c>
      <c r="F24" s="38" t="s">
        <v>37</v>
      </c>
      <c r="G24" s="53" t="s">
        <v>38</v>
      </c>
      <c r="H24" s="56" t="s">
        <v>8</v>
      </c>
      <c r="I24" s="38" t="s">
        <v>37</v>
      </c>
      <c r="J24" s="57" t="s">
        <v>38</v>
      </c>
    </row>
    <row r="25" spans="2:10" ht="15">
      <c r="B25" s="39"/>
      <c r="C25" s="27"/>
      <c r="D25" s="52">
        <v>1000</v>
      </c>
      <c r="E25" s="39"/>
      <c r="F25" s="27"/>
      <c r="G25" s="54">
        <v>1000</v>
      </c>
      <c r="H25" s="58"/>
      <c r="I25" s="27"/>
      <c r="J25" s="59">
        <v>1000</v>
      </c>
    </row>
    <row r="26" spans="2:10" ht="15.75" thickBot="1">
      <c r="B26" s="40">
        <f>C18</f>
        <v>27895.8</v>
      </c>
      <c r="C26" s="41">
        <f>I18</f>
        <v>256.09212260078164</v>
      </c>
      <c r="D26" s="42">
        <f>1000*C26/B26</f>
        <v>9.180311107793347</v>
      </c>
      <c r="E26" s="40">
        <f>C19</f>
        <v>27895.8</v>
      </c>
      <c r="F26" s="41">
        <f>I19</f>
        <v>256.9780453701973</v>
      </c>
      <c r="G26" s="55">
        <f>1000*F26/E26</f>
        <v>9.21206939289059</v>
      </c>
      <c r="H26" s="111">
        <f>B26+E26</f>
        <v>55791.6</v>
      </c>
      <c r="I26" s="112">
        <f>C26+F26</f>
        <v>513.0701679709789</v>
      </c>
      <c r="J26" s="113">
        <f>1000*I26/H26</f>
        <v>9.196190250341967</v>
      </c>
    </row>
    <row r="28" ht="15">
      <c r="B28" s="4" t="s">
        <v>194</v>
      </c>
    </row>
  </sheetData>
  <mergeCells count="3">
    <mergeCell ref="B23:D23"/>
    <mergeCell ref="E23:G23"/>
    <mergeCell ref="H23:J23"/>
  </mergeCells>
  <printOptions/>
  <pageMargins left="0.75" right="0.75" top="1" bottom="1" header="0.5" footer="0.5"/>
  <pageSetup horizontalDpi="300" verticalDpi="300" orientation="portrait" paperSize="9" scale="63" r:id="rId4"/>
  <headerFooter alignWithMargins="0">
    <oddHeader>&amp;C&amp;A</oddHeader>
    <oddFooter>&amp;L&amp;D&amp;RPage &amp;P</oddFooter>
  </headerFooter>
  <colBreaks count="1" manualBreakCount="1">
    <brk id="13" max="65535" man="1"/>
  </colBreaks>
  <drawing r:id="rId3"/>
  <legacyDrawing r:id="rId2"/>
</worksheet>
</file>

<file path=xl/worksheets/sheet5.xml><?xml version="1.0" encoding="utf-8"?>
<worksheet xmlns="http://schemas.openxmlformats.org/spreadsheetml/2006/main" xmlns:r="http://schemas.openxmlformats.org/officeDocument/2006/relationships">
  <dimension ref="A2:G10"/>
  <sheetViews>
    <sheetView workbookViewId="0" topLeftCell="A1">
      <selection activeCell="B40" sqref="B40"/>
    </sheetView>
  </sheetViews>
  <sheetFormatPr defaultColWidth="9.140625" defaultRowHeight="12.75"/>
  <cols>
    <col min="1" max="1" width="27.7109375" style="4" bestFit="1" customWidth="1"/>
    <col min="2" max="2" width="9.57421875" style="4" bestFit="1" customWidth="1"/>
    <col min="3" max="3" width="8.57421875" style="4" customWidth="1"/>
    <col min="4" max="4" width="9.7109375" style="4" customWidth="1"/>
    <col min="5" max="5" width="19.00390625" style="4" bestFit="1" customWidth="1"/>
    <col min="6" max="6" width="13.140625" style="4" customWidth="1"/>
    <col min="7" max="7" width="13.28125" style="4" bestFit="1" customWidth="1"/>
    <col min="8" max="16384" width="9.140625" style="4" customWidth="1"/>
  </cols>
  <sheetData>
    <row r="2" spans="1:7" ht="15">
      <c r="A2" s="121" t="s">
        <v>182</v>
      </c>
      <c r="B2" s="145" t="s">
        <v>183</v>
      </c>
      <c r="C2" s="145" t="s">
        <v>4</v>
      </c>
      <c r="D2" s="145" t="s">
        <v>1</v>
      </c>
      <c r="E2" s="145" t="s">
        <v>193</v>
      </c>
      <c r="F2" s="145" t="s">
        <v>167</v>
      </c>
      <c r="G2" s="145" t="s">
        <v>168</v>
      </c>
    </row>
    <row r="3" spans="1:7" ht="15">
      <c r="A3" s="4" t="s">
        <v>169</v>
      </c>
      <c r="B3" s="4" t="s">
        <v>170</v>
      </c>
      <c r="C3" s="146">
        <v>16</v>
      </c>
      <c r="D3" s="146">
        <v>18.92</v>
      </c>
      <c r="E3" s="147">
        <v>62.44</v>
      </c>
      <c r="F3" s="148">
        <v>17.37</v>
      </c>
      <c r="G3" s="148">
        <v>202.8</v>
      </c>
    </row>
    <row r="4" spans="1:7" ht="15">
      <c r="A4" s="4" t="s">
        <v>171</v>
      </c>
      <c r="B4" s="4" t="s">
        <v>172</v>
      </c>
      <c r="C4" s="146">
        <v>2.92</v>
      </c>
      <c r="D4" s="146">
        <v>11.8</v>
      </c>
      <c r="E4" s="147">
        <v>27.43</v>
      </c>
      <c r="F4" s="148">
        <v>5.16</v>
      </c>
      <c r="G4" s="148">
        <v>60.6</v>
      </c>
    </row>
    <row r="5" spans="1:7" ht="15">
      <c r="A5" s="4" t="s">
        <v>173</v>
      </c>
      <c r="B5" s="4" t="s">
        <v>174</v>
      </c>
      <c r="C5" s="146">
        <v>5.78</v>
      </c>
      <c r="D5" s="146">
        <v>1.21</v>
      </c>
      <c r="E5" s="147">
        <v>0.02</v>
      </c>
      <c r="F5" s="148">
        <v>3.89</v>
      </c>
      <c r="G5" s="148">
        <v>45.7</v>
      </c>
    </row>
    <row r="6" spans="1:7" ht="15">
      <c r="A6" s="4" t="s">
        <v>175</v>
      </c>
      <c r="B6" s="4" t="s">
        <v>176</v>
      </c>
      <c r="C6" s="146">
        <v>4.5</v>
      </c>
      <c r="D6" s="146">
        <v>1.9</v>
      </c>
      <c r="E6" s="147">
        <v>0.19</v>
      </c>
      <c r="F6" s="148">
        <v>3.09</v>
      </c>
      <c r="G6" s="148">
        <v>36.8</v>
      </c>
    </row>
    <row r="7" spans="1:7" ht="15">
      <c r="A7" s="4" t="s">
        <v>177</v>
      </c>
      <c r="B7" s="4" t="s">
        <v>184</v>
      </c>
      <c r="C7" s="146">
        <v>3.2</v>
      </c>
      <c r="D7" s="146">
        <v>3.4</v>
      </c>
      <c r="E7" s="147">
        <v>2.28</v>
      </c>
      <c r="F7" s="148">
        <v>2.52</v>
      </c>
      <c r="G7" s="148">
        <v>29.9</v>
      </c>
    </row>
    <row r="8" spans="1:7" ht="15">
      <c r="A8" s="4" t="s">
        <v>178</v>
      </c>
      <c r="B8" s="4" t="s">
        <v>176</v>
      </c>
      <c r="C8" s="146">
        <v>2.35</v>
      </c>
      <c r="D8" s="146">
        <v>0.55</v>
      </c>
      <c r="E8" s="147">
        <v>0</v>
      </c>
      <c r="F8" s="148">
        <v>1.76</v>
      </c>
      <c r="G8" s="148">
        <v>20.9</v>
      </c>
    </row>
    <row r="9" spans="1:7" ht="15">
      <c r="A9" s="4" t="s">
        <v>179</v>
      </c>
      <c r="B9" s="4" t="s">
        <v>180</v>
      </c>
      <c r="C9" s="146">
        <v>2.1</v>
      </c>
      <c r="D9" s="146">
        <v>0.98</v>
      </c>
      <c r="E9" s="147">
        <v>0</v>
      </c>
      <c r="F9" s="148">
        <v>1.45</v>
      </c>
      <c r="G9" s="148">
        <v>17.3</v>
      </c>
    </row>
    <row r="10" spans="1:7" ht="15">
      <c r="A10" s="4" t="s">
        <v>181</v>
      </c>
      <c r="B10" s="4" t="s">
        <v>176</v>
      </c>
      <c r="C10" s="146">
        <v>0.68</v>
      </c>
      <c r="D10" s="146">
        <v>0.85</v>
      </c>
      <c r="E10" s="147">
        <v>0</v>
      </c>
      <c r="F10" s="148">
        <v>0.6</v>
      </c>
      <c r="G10" s="148">
        <v>7.2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Sciences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jessie.poulin</dc:creator>
  <cp:keywords/>
  <dc:description/>
  <cp:lastModifiedBy>olex</cp:lastModifiedBy>
  <dcterms:created xsi:type="dcterms:W3CDTF">2006-10-05T19:36:39Z</dcterms:created>
  <dcterms:modified xsi:type="dcterms:W3CDTF">2010-02-01T11:26:04Z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180751196</vt:i4>
  </property>
  <property fmtid="{D5CDD505-2E9C-101B-9397-08002B2CF9AE}" pid="3" name="_EmailSubject">
    <vt:lpwstr>Mercury spreadsheet</vt:lpwstr>
  </property>
  <property fmtid="{D5CDD505-2E9C-101B-9397-08002B2CF9AE}" pid="4" name="_AuthorEmail">
    <vt:lpwstr>ebdassessment@who.int</vt:lpwstr>
  </property>
  <property fmtid="{D5CDD505-2E9C-101B-9397-08002B2CF9AE}" pid="5" name="_AuthorEmailDisplayName">
    <vt:lpwstr>EBDassessment</vt:lpwstr>
  </property>
  <property fmtid="{D5CDD505-2E9C-101B-9397-08002B2CF9AE}" pid="6" name="_PreviousAdHocReviewCycleID">
    <vt:i4>1793287255</vt:i4>
  </property>
  <property fmtid="{D5CDD505-2E9C-101B-9397-08002B2CF9AE}" pid="7" name="_NewReviewCycle">
    <vt:lpwstr/>
  </property>
  <property fmtid="{D5CDD505-2E9C-101B-9397-08002B2CF9AE}" pid="8" name="_ReviewingToolsShownOnce">
    <vt:lpwstr/>
  </property>
</Properties>
</file>